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2025-SỞ Y TẾ HẢI PHÒNG-XÂY DỰNG NGHỊ QUYẾT HỖ TRỢ NHÂN LỰC Y TẾ\BƯỚC 3. XIN Ý KIẾN DỰ THẢO\"/>
    </mc:Choice>
  </mc:AlternateContent>
  <xr:revisionPtr revIDLastSave="0" documentId="13_ncr:1_{0F8C7D7C-4199-4969-900D-959251109123}" xr6:coauthVersionLast="47" xr6:coauthVersionMax="47" xr10:uidLastSave="{00000000-0000-0000-0000-000000000000}"/>
  <bookViews>
    <workbookView xWindow="-108" yWindow="-108" windowWidth="23256" windowHeight="12456" xr2:uid="{00000000-000D-0000-FFFF-FFFF00000000}"/>
  </bookViews>
  <sheets>
    <sheet name="PL7. TH KP nhan luc" sheetId="27" r:id="rId1"/>
    <sheet name="7,9,25 Đào tạo TH" sheetId="32" r:id="rId2"/>
    <sheet name="5,10,25 PL8A KPDao tao " sheetId="31" r:id="rId3"/>
    <sheet name="PL 8B. tăng cường tuyến dưới" sheetId="23" r:id="rId4"/>
    <sheet name="PL 9 chuyển giao KT" sheetId="24" r:id="rId5"/>
    <sheet name="PL 10. đãi ngộ" sheetId="26" state="hidden" r:id="rId6"/>
    <sheet name="PL 11. thu hút 50%BS, ko Đ.d" sheetId="25" r:id="rId7"/>
  </sheets>
  <externalReferences>
    <externalReference r:id="rId8"/>
    <externalReference r:id="rId9"/>
    <externalReference r:id="rId10"/>
    <externalReference r:id="rId11"/>
    <externalReference r:id="rId12"/>
  </externalReferences>
  <definedNames>
    <definedName name="_xlnm._FilterDatabase" localSheetId="2" hidden="1">'5,10,25 PL8A KPDao tao '!$A$17:$BC$180</definedName>
    <definedName name="_xlnm._FilterDatabase" localSheetId="6" hidden="1">'PL 11. thu hút 50%BS, ko Đ.d'!$B$6:$AI$6</definedName>
    <definedName name="chuong_pl_3_name" localSheetId="6">'PL 11. thu hút 50%BS, ko Đ.d'!#REF!</definedName>
    <definedName name="cumtu_14_pl" localSheetId="6">'PL 11. thu hút 50%BS, ko Đ.d'!#REF!</definedName>
    <definedName name="cumtu_15_pl" localSheetId="6">'PL 11. thu hút 50%BS, ko Đ.d'!#REF!</definedName>
    <definedName name="cumtu_15_pl_name" localSheetId="6">'PL 11. thu hút 50%BS, ko Đ.d'!#REF!</definedName>
    <definedName name="cumtu_2" localSheetId="6">'PL 11. thu hút 50%BS, ko Đ.d'!#REF!</definedName>
    <definedName name="cumtu_2_name" localSheetId="6">'PL 11. thu hút 50%BS, ko Đ.d'!#REF!</definedName>
    <definedName name="cumtu_3" localSheetId="6">'PL 11. thu hút 50%BS, ko Đ.d'!#REF!</definedName>
    <definedName name="cumtu_3_name" localSheetId="6">'PL 11. thu hút 50%BS, ko Đ.d'!#REF!</definedName>
    <definedName name="cumtu_4_pl" localSheetId="6">'PL 11. thu hút 50%BS, ko Đ.d'!#REF!</definedName>
    <definedName name="cumtu_4_pl_name" localSheetId="6">'PL 11. thu hút 50%BS, ko Đ.d'!#REF!</definedName>
    <definedName name="cumtu_8" localSheetId="6">'PL 11. thu hút 50%BS, ko Đ.d'!#REF!</definedName>
    <definedName name="khoan_1_1" localSheetId="6">'PL 11. thu hút 50%BS, ko Đ.d'!#REF!</definedName>
    <definedName name="_xlnm.Print_Area" localSheetId="2">'5,10,25 PL8A KPDao tao '!$A$1:$AL$181</definedName>
    <definedName name="_xlnm.Print_Area" localSheetId="5">'PL 10. đãi ngộ'!$A$1:$F$54</definedName>
    <definedName name="_xlnm.Print_Area" localSheetId="6">'PL 11. thu hút 50%BS, ko Đ.d'!$A$1:$AC$41</definedName>
    <definedName name="_xlnm.Print_Area" localSheetId="3">'PL 8B. tăng cường tuyến dưới'!$A$1:$H$222</definedName>
    <definedName name="_xlnm.Print_Area" localSheetId="4">'PL 9 chuyển giao KT'!$A$1:$M$530</definedName>
    <definedName name="_xlnm.Print_Titles" localSheetId="5">'PL 10. đãi ngộ'!$3:$3</definedName>
    <definedName name="_xlnm.Print_Titles" localSheetId="6">'PL 11. thu hút 50%BS, ko Đ.d'!$A:$B,'PL 11. thu hút 50%BS, ko Đ.d'!$6:$6</definedName>
    <definedName name="_xlnm.Print_Titles" localSheetId="3">'PL 8B. tăng cường tuyến dưới'!$4:$12</definedName>
    <definedName name="_xlnm.Print_Titles" localSheetId="4">'PL 9 chuyển giao KT'!$4:$9</definedName>
    <definedName name="RangeData3_5">'[1]Danh mục mang đi Ho so'!$D$2:$D$3</definedName>
    <definedName name="RangeData4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25" l="1"/>
  <c r="P6" i="27"/>
  <c r="Q6" i="27"/>
  <c r="P7" i="27"/>
  <c r="Q7" i="27"/>
  <c r="Q5" i="27" s="1"/>
  <c r="P5" i="27" l="1"/>
  <c r="N7" i="27"/>
  <c r="N6" i="27"/>
  <c r="N5" i="27" s="1"/>
  <c r="M7" i="27"/>
  <c r="M6" i="27"/>
  <c r="K7" i="27"/>
  <c r="K6" i="27"/>
  <c r="K5" i="27" s="1"/>
  <c r="J7" i="27"/>
  <c r="J6" i="27"/>
  <c r="H7" i="27"/>
  <c r="H6" i="27"/>
  <c r="H5" i="27" s="1"/>
  <c r="G7" i="27"/>
  <c r="G6" i="27"/>
  <c r="E7" i="27"/>
  <c r="E6" i="27"/>
  <c r="E5" i="27" s="1"/>
  <c r="D7" i="27"/>
  <c r="D6" i="27"/>
  <c r="AI9" i="31"/>
  <c r="AI11" i="31"/>
  <c r="AI10" i="31"/>
  <c r="AI12" i="31"/>
  <c r="AI14" i="31"/>
  <c r="AI13" i="31"/>
  <c r="AK12" i="31"/>
  <c r="AL12" i="31"/>
  <c r="AJ12" i="31"/>
  <c r="AK9" i="31"/>
  <c r="AL9" i="31"/>
  <c r="AJ9" i="31"/>
  <c r="AJ14" i="31"/>
  <c r="AK14" i="31"/>
  <c r="AL14" i="31"/>
  <c r="AK13" i="31"/>
  <c r="AL13" i="31"/>
  <c r="AJ13" i="31"/>
  <c r="AK11" i="31"/>
  <c r="AL11" i="31"/>
  <c r="AK10" i="31"/>
  <c r="AL10" i="31"/>
  <c r="AJ11" i="31"/>
  <c r="AJ10" i="31"/>
  <c r="S12" i="31"/>
  <c r="E12" i="31"/>
  <c r="F12" i="31"/>
  <c r="G12" i="31"/>
  <c r="I12" i="31"/>
  <c r="J12" i="31"/>
  <c r="K12" i="31"/>
  <c r="L12" i="31"/>
  <c r="M12" i="31"/>
  <c r="N12" i="31"/>
  <c r="O12" i="31"/>
  <c r="Q12" i="31"/>
  <c r="R12" i="31"/>
  <c r="T12" i="31"/>
  <c r="U12" i="31"/>
  <c r="V12" i="31"/>
  <c r="W12" i="31"/>
  <c r="X12" i="31"/>
  <c r="Y12" i="31"/>
  <c r="Z12" i="31"/>
  <c r="AA12" i="31"/>
  <c r="AB12" i="31"/>
  <c r="AC12" i="31"/>
  <c r="AD12" i="31"/>
  <c r="AE12" i="31"/>
  <c r="AF12" i="31"/>
  <c r="H12" i="31"/>
  <c r="F9" i="31"/>
  <c r="G9" i="31"/>
  <c r="H9" i="31"/>
  <c r="I9" i="31"/>
  <c r="I6" i="31" s="1"/>
  <c r="J9" i="31"/>
  <c r="K9" i="31"/>
  <c r="K6" i="31" s="1"/>
  <c r="L9" i="31"/>
  <c r="M9" i="31"/>
  <c r="M6" i="31" s="1"/>
  <c r="N9" i="31"/>
  <c r="O9" i="31"/>
  <c r="O6" i="31" s="1"/>
  <c r="Q9" i="31"/>
  <c r="Q6" i="31" s="1"/>
  <c r="R9" i="31"/>
  <c r="S9" i="31"/>
  <c r="S6" i="31" s="1"/>
  <c r="U9" i="31"/>
  <c r="U6" i="31" s="1"/>
  <c r="V9" i="31"/>
  <c r="W9" i="31"/>
  <c r="W6" i="31" s="1"/>
  <c r="X9" i="31"/>
  <c r="X6" i="31" s="1"/>
  <c r="Y9" i="31"/>
  <c r="Y6" i="31" s="1"/>
  <c r="Z9" i="31"/>
  <c r="AA9" i="31"/>
  <c r="AA6" i="31" s="1"/>
  <c r="AB9" i="31"/>
  <c r="AB6" i="31" s="1"/>
  <c r="AC9" i="31"/>
  <c r="AC6" i="31" s="1"/>
  <c r="AD9" i="31"/>
  <c r="AE9" i="31"/>
  <c r="AE6" i="31" s="1"/>
  <c r="AF9" i="31"/>
  <c r="AF6" i="31" s="1"/>
  <c r="E9" i="31"/>
  <c r="H6" i="31" s="1"/>
  <c r="F6" i="31"/>
  <c r="G6" i="31"/>
  <c r="J6" i="31"/>
  <c r="L6" i="31"/>
  <c r="N6" i="31"/>
  <c r="R6" i="31"/>
  <c r="V6" i="31"/>
  <c r="Z6" i="31"/>
  <c r="AD6" i="31"/>
  <c r="F7" i="31"/>
  <c r="G7" i="31"/>
  <c r="H7" i="31"/>
  <c r="I7" i="31"/>
  <c r="J7" i="31"/>
  <c r="K7" i="31"/>
  <c r="L7" i="31"/>
  <c r="M7" i="31"/>
  <c r="N7" i="31"/>
  <c r="O7" i="31"/>
  <c r="Q7" i="31"/>
  <c r="R7" i="31"/>
  <c r="S7" i="31"/>
  <c r="U7" i="31"/>
  <c r="V7" i="31"/>
  <c r="W7" i="31"/>
  <c r="Y7" i="31"/>
  <c r="Z7" i="31"/>
  <c r="AA7" i="31"/>
  <c r="AB7" i="31"/>
  <c r="AC7" i="31"/>
  <c r="AD7" i="31"/>
  <c r="AE7" i="31"/>
  <c r="AF7" i="31"/>
  <c r="F8" i="31"/>
  <c r="G8" i="31"/>
  <c r="H8" i="31"/>
  <c r="I8" i="31"/>
  <c r="J8" i="31"/>
  <c r="K8" i="31"/>
  <c r="L8" i="31"/>
  <c r="M8" i="31"/>
  <c r="N8" i="31"/>
  <c r="O8" i="31"/>
  <c r="Q8" i="31"/>
  <c r="R8" i="31"/>
  <c r="S8" i="31"/>
  <c r="U8" i="31"/>
  <c r="V8" i="31"/>
  <c r="W8" i="31"/>
  <c r="Y8" i="31"/>
  <c r="Z8" i="31"/>
  <c r="AA8" i="31"/>
  <c r="AB8" i="31"/>
  <c r="AC8" i="31"/>
  <c r="AD8" i="31"/>
  <c r="AE8" i="31"/>
  <c r="AF8" i="31"/>
  <c r="E8" i="31"/>
  <c r="E7" i="31"/>
  <c r="E6" i="31"/>
  <c r="AF14" i="31"/>
  <c r="AF13" i="31"/>
  <c r="AF11" i="31"/>
  <c r="AF10" i="31"/>
  <c r="AB14" i="31"/>
  <c r="AB13" i="31"/>
  <c r="AB11" i="31"/>
  <c r="AB10" i="31"/>
  <c r="X14" i="31"/>
  <c r="X13" i="31"/>
  <c r="X11" i="31"/>
  <c r="X8" i="31" s="1"/>
  <c r="X10" i="31"/>
  <c r="X7" i="31" s="1"/>
  <c r="T14" i="31"/>
  <c r="T13" i="31"/>
  <c r="T11" i="31"/>
  <c r="T8" i="31" s="1"/>
  <c r="T10" i="31"/>
  <c r="T7" i="31" s="1"/>
  <c r="P14" i="31"/>
  <c r="P13" i="31"/>
  <c r="P11" i="31"/>
  <c r="P10" i="31"/>
  <c r="P9" i="31" s="1"/>
  <c r="P6" i="31" s="1"/>
  <c r="L14" i="31"/>
  <c r="L13" i="31"/>
  <c r="L11" i="31"/>
  <c r="L10" i="31"/>
  <c r="H10" i="31"/>
  <c r="H11" i="31"/>
  <c r="H13" i="31"/>
  <c r="H14" i="31"/>
  <c r="L24" i="32"/>
  <c r="K24" i="32"/>
  <c r="J24" i="32"/>
  <c r="I24" i="32"/>
  <c r="H24" i="32"/>
  <c r="M24" i="32" s="1"/>
  <c r="G24" i="32"/>
  <c r="F24" i="32"/>
  <c r="C24" i="32"/>
  <c r="L23" i="32"/>
  <c r="K23" i="32"/>
  <c r="J23" i="32"/>
  <c r="I23" i="32"/>
  <c r="M23" i="32" s="1"/>
  <c r="H23" i="32"/>
  <c r="G23" i="32"/>
  <c r="F23" i="32"/>
  <c r="C23" i="32"/>
  <c r="L22" i="32"/>
  <c r="K22" i="32"/>
  <c r="J22" i="32"/>
  <c r="I22" i="32"/>
  <c r="H22" i="32"/>
  <c r="M22" i="32" s="1"/>
  <c r="G22" i="32"/>
  <c r="F22" i="32"/>
  <c r="C22" i="32" s="1"/>
  <c r="L21" i="32"/>
  <c r="K21" i="32"/>
  <c r="J21" i="32"/>
  <c r="I21" i="32"/>
  <c r="H21" i="32"/>
  <c r="M21" i="32" s="1"/>
  <c r="G21" i="32"/>
  <c r="C21" i="32" s="1"/>
  <c r="F21" i="32"/>
  <c r="E21" i="32"/>
  <c r="L20" i="32"/>
  <c r="K20" i="32"/>
  <c r="J20" i="32"/>
  <c r="I20" i="32"/>
  <c r="M20" i="32" s="1"/>
  <c r="H20" i="32"/>
  <c r="G20" i="32"/>
  <c r="F20" i="32"/>
  <c r="E20" i="32"/>
  <c r="C20" i="32" s="1"/>
  <c r="L19" i="32"/>
  <c r="K19" i="32"/>
  <c r="J19" i="32"/>
  <c r="I19" i="32"/>
  <c r="H19" i="32"/>
  <c r="M19" i="32" s="1"/>
  <c r="G19" i="32"/>
  <c r="F19" i="32"/>
  <c r="E19" i="32"/>
  <c r="C19" i="32"/>
  <c r="L18" i="32"/>
  <c r="K18" i="32"/>
  <c r="J18" i="32"/>
  <c r="I18" i="32"/>
  <c r="H18" i="32"/>
  <c r="M18" i="32" s="1"/>
  <c r="G18" i="32"/>
  <c r="C18" i="32" s="1"/>
  <c r="F18" i="32"/>
  <c r="E18" i="32"/>
  <c r="L17" i="32"/>
  <c r="K17" i="32"/>
  <c r="J17" i="32"/>
  <c r="I17" i="32"/>
  <c r="H17" i="32"/>
  <c r="M17" i="32" s="1"/>
  <c r="G17" i="32"/>
  <c r="F17" i="32"/>
  <c r="E17" i="32"/>
  <c r="C17" i="32"/>
  <c r="L16" i="32"/>
  <c r="K16" i="32"/>
  <c r="J16" i="32"/>
  <c r="I16" i="32"/>
  <c r="H16" i="32"/>
  <c r="M16" i="32" s="1"/>
  <c r="G16" i="32"/>
  <c r="F16" i="32"/>
  <c r="E16" i="32"/>
  <c r="C16" i="32" s="1"/>
  <c r="L15" i="32"/>
  <c r="K15" i="32"/>
  <c r="J15" i="32"/>
  <c r="I15" i="32"/>
  <c r="H15" i="32"/>
  <c r="M15" i="32" s="1"/>
  <c r="G15" i="32"/>
  <c r="F15" i="32"/>
  <c r="E15" i="32"/>
  <c r="C15" i="32"/>
  <c r="L14" i="32"/>
  <c r="K14" i="32"/>
  <c r="J14" i="32"/>
  <c r="I14" i="32"/>
  <c r="H14" i="32"/>
  <c r="M14" i="32" s="1"/>
  <c r="G14" i="32"/>
  <c r="F14" i="32"/>
  <c r="E14" i="32"/>
  <c r="C14" i="32"/>
  <c r="L13" i="32"/>
  <c r="K13" i="32"/>
  <c r="J13" i="32"/>
  <c r="I13" i="32"/>
  <c r="H13" i="32"/>
  <c r="M13" i="32" s="1"/>
  <c r="G13" i="32"/>
  <c r="F13" i="32"/>
  <c r="E13" i="32"/>
  <c r="C13" i="32"/>
  <c r="L12" i="32"/>
  <c r="K12" i="32"/>
  <c r="J12" i="32"/>
  <c r="I12" i="32"/>
  <c r="H12" i="32"/>
  <c r="M12" i="32" s="1"/>
  <c r="G12" i="32"/>
  <c r="F12" i="32"/>
  <c r="E12" i="32"/>
  <c r="C12" i="32" s="1"/>
  <c r="L11" i="32"/>
  <c r="K11" i="32"/>
  <c r="J11" i="32"/>
  <c r="I11" i="32"/>
  <c r="H11" i="32"/>
  <c r="M11" i="32" s="1"/>
  <c r="G11" i="32"/>
  <c r="F11" i="32"/>
  <c r="E11" i="32"/>
  <c r="C11" i="32"/>
  <c r="L10" i="32"/>
  <c r="K10" i="32"/>
  <c r="J10" i="32"/>
  <c r="I10" i="32"/>
  <c r="H10" i="32"/>
  <c r="M10" i="32" s="1"/>
  <c r="G10" i="32"/>
  <c r="F10" i="32"/>
  <c r="E10" i="32"/>
  <c r="C10" i="32" s="1"/>
  <c r="L9" i="32"/>
  <c r="K9" i="32"/>
  <c r="J9" i="32"/>
  <c r="I9" i="32"/>
  <c r="H9" i="32"/>
  <c r="M9" i="32" s="1"/>
  <c r="G9" i="32"/>
  <c r="F9" i="32"/>
  <c r="E9" i="32"/>
  <c r="C9" i="32" s="1"/>
  <c r="L8" i="32"/>
  <c r="K8" i="32"/>
  <c r="J8" i="32"/>
  <c r="I8" i="32"/>
  <c r="H8" i="32"/>
  <c r="M8" i="32" s="1"/>
  <c r="G8" i="32"/>
  <c r="F8" i="32"/>
  <c r="E8" i="32"/>
  <c r="C8" i="32"/>
  <c r="L7" i="32"/>
  <c r="K7" i="32"/>
  <c r="J7" i="32"/>
  <c r="I7" i="32"/>
  <c r="H7" i="32"/>
  <c r="M7" i="32" s="1"/>
  <c r="G7" i="32"/>
  <c r="F7" i="32"/>
  <c r="E7" i="32"/>
  <c r="C7" i="32"/>
  <c r="L6" i="32"/>
  <c r="K6" i="32"/>
  <c r="J6" i="32"/>
  <c r="I6" i="32"/>
  <c r="H6" i="32"/>
  <c r="M6" i="32" s="1"/>
  <c r="G6" i="32"/>
  <c r="F6" i="32"/>
  <c r="E6" i="32"/>
  <c r="C6" i="32"/>
  <c r="L5" i="32"/>
  <c r="K5" i="32"/>
  <c r="J5" i="32"/>
  <c r="I5" i="32"/>
  <c r="H5" i="32"/>
  <c r="M5" i="32" s="1"/>
  <c r="G5" i="32"/>
  <c r="F5" i="32"/>
  <c r="E5" i="32"/>
  <c r="C5" i="32" s="1"/>
  <c r="C4" i="32" s="1"/>
  <c r="L4" i="32"/>
  <c r="K4" i="32"/>
  <c r="J4" i="32"/>
  <c r="I4" i="32"/>
  <c r="H4" i="32"/>
  <c r="M4" i="32" s="1"/>
  <c r="G4" i="32"/>
  <c r="F4" i="32"/>
  <c r="E4" i="32"/>
  <c r="AE196" i="31"/>
  <c r="AD196" i="31"/>
  <c r="B193" i="31"/>
  <c r="B192" i="31"/>
  <c r="B190" i="31"/>
  <c r="AE189" i="31"/>
  <c r="AD189" i="31"/>
  <c r="B189" i="31"/>
  <c r="F188" i="31"/>
  <c r="E188" i="31"/>
  <c r="B187" i="31"/>
  <c r="B186" i="31"/>
  <c r="AL181" i="31"/>
  <c r="AK181" i="31"/>
  <c r="AJ181" i="31"/>
  <c r="AH180" i="31"/>
  <c r="C180" i="31"/>
  <c r="AC180" i="31" s="1"/>
  <c r="AC173" i="31" s="1"/>
  <c r="AH179" i="31"/>
  <c r="C179" i="31"/>
  <c r="AA179" i="31" s="1"/>
  <c r="AL179" i="31" s="1"/>
  <c r="AH178" i="31"/>
  <c r="C178" i="31"/>
  <c r="AR8" i="31" s="1"/>
  <c r="AH177" i="31"/>
  <c r="C177" i="31"/>
  <c r="AR7" i="31" s="1"/>
  <c r="AH176" i="31"/>
  <c r="C176" i="31"/>
  <c r="AL175" i="31"/>
  <c r="AK175" i="31"/>
  <c r="AJ175" i="31"/>
  <c r="C175" i="31"/>
  <c r="I175" i="31" s="1"/>
  <c r="I173" i="31" s="1"/>
  <c r="AQ174" i="31"/>
  <c r="AO174" i="31"/>
  <c r="AL174" i="31"/>
  <c r="AK174" i="31"/>
  <c r="AJ174" i="31"/>
  <c r="C174" i="31"/>
  <c r="K173" i="31"/>
  <c r="J173" i="31"/>
  <c r="G173" i="31"/>
  <c r="F173" i="31"/>
  <c r="D173" i="31"/>
  <c r="AL172" i="31"/>
  <c r="AH172" i="31"/>
  <c r="C172" i="31"/>
  <c r="AL171" i="31"/>
  <c r="AH171" i="31"/>
  <c r="C171" i="31"/>
  <c r="AG171" i="31" s="1"/>
  <c r="AL170" i="31"/>
  <c r="AH170" i="31"/>
  <c r="C170" i="31"/>
  <c r="U170" i="31" s="1"/>
  <c r="Y170" i="31" s="1"/>
  <c r="AC170" i="31" s="1"/>
  <c r="AL169" i="31"/>
  <c r="AH169" i="31"/>
  <c r="C169" i="31"/>
  <c r="R169" i="31" s="1"/>
  <c r="V169" i="31" s="1"/>
  <c r="Z169" i="31" s="1"/>
  <c r="AD169" i="31" s="1"/>
  <c r="AS168" i="31"/>
  <c r="AH168" i="31"/>
  <c r="C168" i="31"/>
  <c r="C167" i="31"/>
  <c r="I167" i="31" s="1"/>
  <c r="I58" i="31" s="1"/>
  <c r="C166" i="31"/>
  <c r="W166" i="31" s="1"/>
  <c r="AL166" i="31" s="1"/>
  <c r="C165" i="31"/>
  <c r="O164" i="31"/>
  <c r="O55" i="31" s="1"/>
  <c r="N164" i="31"/>
  <c r="AK164" i="31" s="1"/>
  <c r="M164" i="31"/>
  <c r="AJ164" i="31" s="1"/>
  <c r="F164" i="31"/>
  <c r="J164" i="31" s="1"/>
  <c r="E164" i="31"/>
  <c r="E55" i="31" s="1"/>
  <c r="K163" i="31"/>
  <c r="G163" i="31"/>
  <c r="D163" i="31"/>
  <c r="AW162" i="31"/>
  <c r="AV162" i="31"/>
  <c r="AU162" i="31"/>
  <c r="AT162" i="31"/>
  <c r="AL162" i="31"/>
  <c r="D162" i="31"/>
  <c r="D53" i="31" s="1"/>
  <c r="AH53" i="31" s="1"/>
  <c r="C162" i="31"/>
  <c r="AL161" i="31"/>
  <c r="D161" i="31"/>
  <c r="AH161" i="31" s="1"/>
  <c r="C161" i="31"/>
  <c r="D160" i="31"/>
  <c r="AH160" i="31" s="1"/>
  <c r="C160" i="31"/>
  <c r="U160" i="31" s="1"/>
  <c r="D159" i="31"/>
  <c r="AH159" i="31" s="1"/>
  <c r="C159" i="31"/>
  <c r="D158" i="31"/>
  <c r="AH158" i="31" s="1"/>
  <c r="C158" i="31"/>
  <c r="R158" i="31" s="1"/>
  <c r="V158" i="31" s="1"/>
  <c r="D157" i="31"/>
  <c r="D48" i="31" s="1"/>
  <c r="C157" i="31"/>
  <c r="C156" i="31"/>
  <c r="E156" i="31" s="1"/>
  <c r="C155" i="31"/>
  <c r="J155" i="31" s="1"/>
  <c r="N155" i="31" s="1"/>
  <c r="N46" i="31" s="1"/>
  <c r="K154" i="31"/>
  <c r="G154" i="31"/>
  <c r="AL153" i="31"/>
  <c r="AH153" i="31"/>
  <c r="C153" i="31"/>
  <c r="AG153" i="31" s="1"/>
  <c r="AL152" i="31"/>
  <c r="AH152" i="31"/>
  <c r="C152" i="31"/>
  <c r="Z152" i="31" s="1"/>
  <c r="AD152" i="31" s="1"/>
  <c r="AL151" i="31"/>
  <c r="AH151" i="31"/>
  <c r="C151" i="31"/>
  <c r="AG151" i="31" s="1"/>
  <c r="AH150" i="31"/>
  <c r="C150" i="31"/>
  <c r="AC150" i="31" s="1"/>
  <c r="AH149" i="31"/>
  <c r="C149" i="31"/>
  <c r="Y149" i="31" s="1"/>
  <c r="C148" i="31"/>
  <c r="W148" i="31" s="1"/>
  <c r="W145" i="31" s="1"/>
  <c r="S203" i="31" s="1"/>
  <c r="S201" i="31" s="1"/>
  <c r="C147" i="31"/>
  <c r="R147" i="31" s="1"/>
  <c r="C146" i="31"/>
  <c r="M146" i="31" s="1"/>
  <c r="AJ146" i="31" s="1"/>
  <c r="K145" i="31"/>
  <c r="G145" i="31"/>
  <c r="D145" i="31"/>
  <c r="AL144" i="31"/>
  <c r="D144" i="31"/>
  <c r="AH144" i="31" s="1"/>
  <c r="C144" i="31"/>
  <c r="AL143" i="31"/>
  <c r="D143" i="31"/>
  <c r="AH143" i="31" s="1"/>
  <c r="C143" i="31"/>
  <c r="AC143" i="31" s="1"/>
  <c r="D142" i="31"/>
  <c r="AH142" i="31" s="1"/>
  <c r="C142" i="31"/>
  <c r="D141" i="31"/>
  <c r="AH141" i="31" s="1"/>
  <c r="C141" i="31"/>
  <c r="D140" i="31"/>
  <c r="AH140" i="31" s="1"/>
  <c r="C140" i="31"/>
  <c r="N140" i="31" s="1"/>
  <c r="D139" i="31"/>
  <c r="C139" i="31"/>
  <c r="AN138" i="31"/>
  <c r="C138" i="31"/>
  <c r="AL137" i="31"/>
  <c r="AK137" i="31"/>
  <c r="AJ137" i="31"/>
  <c r="C137" i="31"/>
  <c r="K137" i="31" s="1"/>
  <c r="K136" i="31" s="1"/>
  <c r="G136" i="31"/>
  <c r="AL135" i="31"/>
  <c r="AH135" i="31"/>
  <c r="C135" i="31"/>
  <c r="AL134" i="31"/>
  <c r="AH134" i="31"/>
  <c r="C134" i="31"/>
  <c r="AL133" i="31"/>
  <c r="AH133" i="31"/>
  <c r="C133" i="31"/>
  <c r="AG133" i="31" s="1"/>
  <c r="AL132" i="31"/>
  <c r="AH132" i="31"/>
  <c r="C132" i="31"/>
  <c r="AH131" i="31"/>
  <c r="C131" i="31"/>
  <c r="AG131" i="31" s="1"/>
  <c r="C130" i="31"/>
  <c r="C129" i="31"/>
  <c r="C128" i="31"/>
  <c r="O127" i="31"/>
  <c r="K197" i="31" s="1"/>
  <c r="K127" i="31"/>
  <c r="G127" i="31"/>
  <c r="D127" i="31"/>
  <c r="AL125" i="31"/>
  <c r="AK125" i="31"/>
  <c r="AH125" i="31"/>
  <c r="C125" i="31"/>
  <c r="AL124" i="31"/>
  <c r="AK124" i="31"/>
  <c r="AH124" i="31"/>
  <c r="C124" i="31"/>
  <c r="AG124" i="31" s="1"/>
  <c r="AL123" i="31"/>
  <c r="AK123" i="31"/>
  <c r="AH123" i="31"/>
  <c r="C123" i="31"/>
  <c r="U123" i="31" s="1"/>
  <c r="AL122" i="31"/>
  <c r="AK122" i="31"/>
  <c r="AH122" i="31"/>
  <c r="C122" i="31"/>
  <c r="AL121" i="31"/>
  <c r="AK121" i="31"/>
  <c r="AH121" i="31"/>
  <c r="C121" i="31"/>
  <c r="AP6" i="31" s="1"/>
  <c r="AL120" i="31"/>
  <c r="AK120" i="31"/>
  <c r="AJ120" i="31"/>
  <c r="C120" i="31"/>
  <c r="I120" i="31" s="1"/>
  <c r="I118" i="31" s="1"/>
  <c r="AQ119" i="31"/>
  <c r="AO119" i="31"/>
  <c r="AL119" i="31"/>
  <c r="AK119" i="31"/>
  <c r="AJ119" i="31"/>
  <c r="C119" i="31"/>
  <c r="AE118" i="31"/>
  <c r="AD118" i="31"/>
  <c r="AA118" i="31"/>
  <c r="Z118" i="31"/>
  <c r="W118" i="31"/>
  <c r="V118" i="31"/>
  <c r="S118" i="31"/>
  <c r="R118" i="31"/>
  <c r="O118" i="31"/>
  <c r="N118" i="31"/>
  <c r="K118" i="31"/>
  <c r="J118" i="31"/>
  <c r="G118" i="31"/>
  <c r="F118" i="31"/>
  <c r="D118" i="31"/>
  <c r="AL117" i="31"/>
  <c r="AH117" i="31"/>
  <c r="C117" i="31"/>
  <c r="AD117" i="31" s="1"/>
  <c r="AK117" i="31" s="1"/>
  <c r="AL116" i="31"/>
  <c r="AH116" i="31"/>
  <c r="C116" i="31"/>
  <c r="AL115" i="31"/>
  <c r="AH115" i="31"/>
  <c r="C115" i="31"/>
  <c r="AG115" i="31" s="1"/>
  <c r="AL114" i="31"/>
  <c r="AH114" i="31"/>
  <c r="C114" i="31"/>
  <c r="AS113" i="31"/>
  <c r="AH113" i="31"/>
  <c r="C113" i="31"/>
  <c r="C112" i="31"/>
  <c r="I112" i="31" s="1"/>
  <c r="M112" i="31" s="1"/>
  <c r="C111" i="31"/>
  <c r="E111" i="31" s="1"/>
  <c r="C110" i="31"/>
  <c r="E110" i="31" s="1"/>
  <c r="S109" i="31"/>
  <c r="O109" i="31"/>
  <c r="K109" i="31"/>
  <c r="G109" i="31"/>
  <c r="D109" i="31"/>
  <c r="AW108" i="31"/>
  <c r="AV108" i="31"/>
  <c r="AU108" i="31"/>
  <c r="AT108" i="31"/>
  <c r="AL108" i="31"/>
  <c r="AH108" i="31"/>
  <c r="C108" i="31"/>
  <c r="AG108" i="31" s="1"/>
  <c r="AL107" i="31"/>
  <c r="AH107" i="31"/>
  <c r="C107" i="31"/>
  <c r="Z107" i="31" s="1"/>
  <c r="AH106" i="31"/>
  <c r="C106" i="31"/>
  <c r="AH105" i="31"/>
  <c r="C105" i="31"/>
  <c r="AH104" i="31"/>
  <c r="C104" i="31"/>
  <c r="C103" i="31"/>
  <c r="N103" i="31" s="1"/>
  <c r="C102" i="31"/>
  <c r="AL101" i="31"/>
  <c r="AK101" i="31"/>
  <c r="AJ101" i="31"/>
  <c r="C101" i="31"/>
  <c r="C46" i="31" s="1"/>
  <c r="AM100" i="31"/>
  <c r="G100" i="31"/>
  <c r="D100" i="31"/>
  <c r="AL99" i="31"/>
  <c r="AH99" i="31"/>
  <c r="C99" i="31"/>
  <c r="AD99" i="31" s="1"/>
  <c r="AK99" i="31" s="1"/>
  <c r="AL98" i="31"/>
  <c r="AH98" i="31"/>
  <c r="C98" i="31"/>
  <c r="AL97" i="31"/>
  <c r="AH97" i="31"/>
  <c r="C97" i="31"/>
  <c r="U97" i="31" s="1"/>
  <c r="AH96" i="31"/>
  <c r="C96" i="31"/>
  <c r="AG96" i="31" s="1"/>
  <c r="AH95" i="31"/>
  <c r="C95" i="31"/>
  <c r="AG95" i="31" s="1"/>
  <c r="C94" i="31"/>
  <c r="C93" i="31"/>
  <c r="R93" i="31" s="1"/>
  <c r="C92" i="31"/>
  <c r="K91" i="31"/>
  <c r="G91" i="31"/>
  <c r="D91" i="31"/>
  <c r="AL90" i="31"/>
  <c r="AH90" i="31"/>
  <c r="C90" i="31"/>
  <c r="AL89" i="31"/>
  <c r="AH89" i="31"/>
  <c r="C89" i="31"/>
  <c r="Z89" i="31" s="1"/>
  <c r="AH88" i="31"/>
  <c r="C88" i="31"/>
  <c r="AG88" i="31" s="1"/>
  <c r="AH87" i="31"/>
  <c r="C87" i="31"/>
  <c r="AH86" i="31"/>
  <c r="C86" i="31"/>
  <c r="AG86" i="31" s="1"/>
  <c r="C85" i="31"/>
  <c r="N85" i="31" s="1"/>
  <c r="R85" i="31" s="1"/>
  <c r="AN84" i="31"/>
  <c r="C84" i="31"/>
  <c r="E84" i="31" s="1"/>
  <c r="AN83" i="31"/>
  <c r="AL83" i="31"/>
  <c r="AK83" i="31"/>
  <c r="AJ83" i="31"/>
  <c r="C83" i="31"/>
  <c r="K83" i="31" s="1"/>
  <c r="K82" i="31" s="1"/>
  <c r="G82" i="31"/>
  <c r="D82" i="31"/>
  <c r="AL81" i="31"/>
  <c r="AH81" i="31"/>
  <c r="C81" i="31"/>
  <c r="AL80" i="31"/>
  <c r="AH80" i="31"/>
  <c r="C80" i="31"/>
  <c r="AL79" i="31"/>
  <c r="AH79" i="31"/>
  <c r="C79" i="31"/>
  <c r="AL78" i="31"/>
  <c r="AH78" i="31"/>
  <c r="C78" i="31"/>
  <c r="AH77" i="31"/>
  <c r="C77" i="31"/>
  <c r="C76" i="31"/>
  <c r="C75" i="31"/>
  <c r="C74" i="31"/>
  <c r="O73" i="31"/>
  <c r="K73" i="31"/>
  <c r="G73" i="31"/>
  <c r="D73" i="31"/>
  <c r="AA71" i="31"/>
  <c r="Z71" i="31"/>
  <c r="Y71" i="31"/>
  <c r="W71" i="31"/>
  <c r="V71" i="31"/>
  <c r="U71" i="31"/>
  <c r="S71" i="31"/>
  <c r="R71" i="31"/>
  <c r="Q71" i="31"/>
  <c r="O71" i="31"/>
  <c r="N71" i="31"/>
  <c r="M71" i="31"/>
  <c r="K71" i="31"/>
  <c r="J71" i="31"/>
  <c r="I71" i="31"/>
  <c r="G71" i="31"/>
  <c r="F71" i="31"/>
  <c r="E71" i="31"/>
  <c r="D71" i="31"/>
  <c r="AH71" i="31" s="1"/>
  <c r="AE70" i="31"/>
  <c r="AD70" i="31"/>
  <c r="AC70" i="31"/>
  <c r="W70" i="31"/>
  <c r="V70" i="31"/>
  <c r="U70" i="31"/>
  <c r="S70" i="31"/>
  <c r="R70" i="31"/>
  <c r="Q70" i="31"/>
  <c r="O70" i="31"/>
  <c r="N70" i="31"/>
  <c r="M70" i="31"/>
  <c r="K70" i="31"/>
  <c r="J70" i="31"/>
  <c r="I70" i="31"/>
  <c r="G70" i="31"/>
  <c r="F70" i="31"/>
  <c r="E70" i="31"/>
  <c r="D70" i="31"/>
  <c r="AH70" i="31" s="1"/>
  <c r="AZ69" i="31"/>
  <c r="AZ123" i="31" s="1"/>
  <c r="AY69" i="31"/>
  <c r="AY123" i="31" s="1"/>
  <c r="AX69" i="31"/>
  <c r="AX123" i="31" s="1"/>
  <c r="AW69" i="31"/>
  <c r="AW123" i="31" s="1"/>
  <c r="AV69" i="31"/>
  <c r="AV123" i="31" s="1"/>
  <c r="AE69" i="31"/>
  <c r="AD69" i="31"/>
  <c r="AC69" i="31"/>
  <c r="AA69" i="31"/>
  <c r="Z69" i="31"/>
  <c r="Y69" i="31"/>
  <c r="S69" i="31"/>
  <c r="R69" i="31"/>
  <c r="Q69" i="31"/>
  <c r="O69" i="31"/>
  <c r="N69" i="31"/>
  <c r="M69" i="31"/>
  <c r="K69" i="31"/>
  <c r="J69" i="31"/>
  <c r="I69" i="31"/>
  <c r="G69" i="31"/>
  <c r="F69" i="31"/>
  <c r="E69" i="31"/>
  <c r="D69" i="31"/>
  <c r="AH69" i="31" s="1"/>
  <c r="AZ68" i="31"/>
  <c r="AZ122" i="31" s="1"/>
  <c r="AY68" i="31"/>
  <c r="AY122" i="31" s="1"/>
  <c r="AX68" i="31"/>
  <c r="AX122" i="31" s="1"/>
  <c r="AW68" i="31"/>
  <c r="AW122" i="31" s="1"/>
  <c r="AV68" i="31"/>
  <c r="AV122" i="31" s="1"/>
  <c r="AE68" i="31"/>
  <c r="AD68" i="31"/>
  <c r="AC68" i="31"/>
  <c r="AA68" i="31"/>
  <c r="Z68" i="31"/>
  <c r="Y68" i="31"/>
  <c r="W68" i="31"/>
  <c r="V68" i="31"/>
  <c r="U68" i="31"/>
  <c r="O68" i="31"/>
  <c r="N68" i="31"/>
  <c r="M68" i="31"/>
  <c r="K68" i="31"/>
  <c r="J68" i="31"/>
  <c r="I68" i="31"/>
  <c r="G68" i="31"/>
  <c r="F68" i="31"/>
  <c r="E68" i="31"/>
  <c r="D68" i="31"/>
  <c r="AH68" i="31" s="1"/>
  <c r="AZ67" i="31"/>
  <c r="AZ121" i="31" s="1"/>
  <c r="AY67" i="31"/>
  <c r="AY121" i="31" s="1"/>
  <c r="AX67" i="31"/>
  <c r="AX121" i="31" s="1"/>
  <c r="AW67" i="31"/>
  <c r="AW121" i="31" s="1"/>
  <c r="AV67" i="31"/>
  <c r="AV121" i="31" s="1"/>
  <c r="AE67" i="31"/>
  <c r="AD67" i="31"/>
  <c r="AC67" i="31"/>
  <c r="AA67" i="31"/>
  <c r="Z67" i="31"/>
  <c r="Y67" i="31"/>
  <c r="W67" i="31"/>
  <c r="V67" i="31"/>
  <c r="U67" i="31"/>
  <c r="S67" i="31"/>
  <c r="R67" i="31"/>
  <c r="Q67" i="31"/>
  <c r="K67" i="31"/>
  <c r="J67" i="31"/>
  <c r="I67" i="31"/>
  <c r="G67" i="31"/>
  <c r="F67" i="31"/>
  <c r="E67" i="31"/>
  <c r="D67" i="31"/>
  <c r="AH67" i="31" s="1"/>
  <c r="AZ66" i="31"/>
  <c r="AZ120" i="31" s="1"/>
  <c r="AY66" i="31"/>
  <c r="AY120" i="31" s="1"/>
  <c r="AX66" i="31"/>
  <c r="AX120" i="31" s="1"/>
  <c r="AW66" i="31"/>
  <c r="AW120" i="31" s="1"/>
  <c r="AV66" i="31"/>
  <c r="AV120" i="31" s="1"/>
  <c r="AE66" i="31"/>
  <c r="AD66" i="31"/>
  <c r="AC66" i="31"/>
  <c r="AA66" i="31"/>
  <c r="Z66" i="31"/>
  <c r="Y66" i="31"/>
  <c r="W66" i="31"/>
  <c r="V66" i="31"/>
  <c r="U66" i="31"/>
  <c r="S66" i="31"/>
  <c r="R66" i="31"/>
  <c r="Q66" i="31"/>
  <c r="O66" i="31"/>
  <c r="N66" i="31"/>
  <c r="M66" i="31"/>
  <c r="K66" i="31"/>
  <c r="J66" i="31"/>
  <c r="G66" i="31"/>
  <c r="F66" i="31"/>
  <c r="E66" i="31"/>
  <c r="D66" i="31"/>
  <c r="AZ65" i="31"/>
  <c r="AZ119" i="31" s="1"/>
  <c r="AY65" i="31"/>
  <c r="AY119" i="31" s="1"/>
  <c r="AX65" i="31"/>
  <c r="AX119" i="31" s="1"/>
  <c r="AW65" i="31"/>
  <c r="AW119" i="31" s="1"/>
  <c r="AV65" i="31"/>
  <c r="AV119" i="31" s="1"/>
  <c r="AE65" i="31"/>
  <c r="AD65" i="31"/>
  <c r="AC65" i="31"/>
  <c r="AA65" i="31"/>
  <c r="Z65" i="31"/>
  <c r="Y65" i="31"/>
  <c r="W65" i="31"/>
  <c r="V65" i="31"/>
  <c r="U65" i="31"/>
  <c r="S65" i="31"/>
  <c r="R65" i="31"/>
  <c r="Q65" i="31"/>
  <c r="O65" i="31"/>
  <c r="N65" i="31"/>
  <c r="M65" i="31"/>
  <c r="K65" i="31"/>
  <c r="J65" i="31"/>
  <c r="I65" i="31"/>
  <c r="G65" i="31"/>
  <c r="F65" i="31"/>
  <c r="D65" i="31"/>
  <c r="AZ64" i="31"/>
  <c r="AZ118" i="31" s="1"/>
  <c r="AY64" i="31"/>
  <c r="AY118" i="31" s="1"/>
  <c r="AX64" i="31"/>
  <c r="AX118" i="31" s="1"/>
  <c r="AW64" i="31"/>
  <c r="AW118" i="31" s="1"/>
  <c r="AV64" i="31"/>
  <c r="AV118" i="31" s="1"/>
  <c r="AZ63" i="31"/>
  <c r="AZ117" i="31" s="1"/>
  <c r="AY63" i="31"/>
  <c r="AY117" i="31" s="1"/>
  <c r="AX63" i="31"/>
  <c r="AX117" i="31" s="1"/>
  <c r="AW63" i="31"/>
  <c r="AW117" i="31" s="1"/>
  <c r="AV63" i="31"/>
  <c r="AV117" i="31" s="1"/>
  <c r="AA63" i="31"/>
  <c r="Z63" i="31"/>
  <c r="Y63" i="31"/>
  <c r="W63" i="31"/>
  <c r="V63" i="31"/>
  <c r="U63" i="31"/>
  <c r="S63" i="31"/>
  <c r="R63" i="31"/>
  <c r="Q63" i="31"/>
  <c r="O63" i="31"/>
  <c r="N63" i="31"/>
  <c r="M63" i="31"/>
  <c r="K63" i="31"/>
  <c r="J63" i="31"/>
  <c r="I63" i="31"/>
  <c r="G63" i="31"/>
  <c r="F63" i="31"/>
  <c r="E63" i="31"/>
  <c r="D63" i="31"/>
  <c r="AH63" i="31" s="1"/>
  <c r="AZ62" i="31"/>
  <c r="AZ116" i="31" s="1"/>
  <c r="AY62" i="31"/>
  <c r="AY116" i="31" s="1"/>
  <c r="AX62" i="31"/>
  <c r="AX116" i="31" s="1"/>
  <c r="AW62" i="31"/>
  <c r="AW116" i="31" s="1"/>
  <c r="AV62" i="31"/>
  <c r="AV116" i="31" s="1"/>
  <c r="AA62" i="31"/>
  <c r="W62" i="31"/>
  <c r="V62" i="31"/>
  <c r="U62" i="31"/>
  <c r="S62" i="31"/>
  <c r="R62" i="31"/>
  <c r="Q62" i="31"/>
  <c r="O62" i="31"/>
  <c r="N62" i="31"/>
  <c r="M62" i="31"/>
  <c r="K62" i="31"/>
  <c r="J62" i="31"/>
  <c r="I62" i="31"/>
  <c r="G62" i="31"/>
  <c r="F62" i="31"/>
  <c r="E62" i="31"/>
  <c r="D62" i="31"/>
  <c r="AH62" i="31" s="1"/>
  <c r="AA61" i="31"/>
  <c r="W61" i="31"/>
  <c r="S61" i="31"/>
  <c r="R61" i="31"/>
  <c r="Q61" i="31"/>
  <c r="O61" i="31"/>
  <c r="N61" i="31"/>
  <c r="M61" i="31"/>
  <c r="K61" i="31"/>
  <c r="J61" i="31"/>
  <c r="I61" i="31"/>
  <c r="G61" i="31"/>
  <c r="F61" i="31"/>
  <c r="E61" i="31"/>
  <c r="D61" i="31"/>
  <c r="AH61" i="31" s="1"/>
  <c r="AA60" i="31"/>
  <c r="W60" i="31"/>
  <c r="S60" i="31"/>
  <c r="O60" i="31"/>
  <c r="N60" i="31"/>
  <c r="M60" i="31"/>
  <c r="K60" i="31"/>
  <c r="J60" i="31"/>
  <c r="I60" i="31"/>
  <c r="G60" i="31"/>
  <c r="F60" i="31"/>
  <c r="E60" i="31"/>
  <c r="D60" i="31"/>
  <c r="AH60" i="31" s="1"/>
  <c r="AA59" i="31"/>
  <c r="W59" i="31"/>
  <c r="S59" i="31"/>
  <c r="O59" i="31"/>
  <c r="K59" i="31"/>
  <c r="J59" i="31"/>
  <c r="I59" i="31"/>
  <c r="G59" i="31"/>
  <c r="F59" i="31"/>
  <c r="E59" i="31"/>
  <c r="D59" i="31"/>
  <c r="AH59" i="31" s="1"/>
  <c r="AE58" i="31"/>
  <c r="AD58" i="31"/>
  <c r="AC58" i="31"/>
  <c r="W58" i="31"/>
  <c r="S58" i="31"/>
  <c r="O58" i="31"/>
  <c r="K58" i="31"/>
  <c r="G58" i="31"/>
  <c r="F58" i="31"/>
  <c r="E58" i="31"/>
  <c r="D58" i="31"/>
  <c r="AE57" i="31"/>
  <c r="AD57" i="31"/>
  <c r="AC57" i="31"/>
  <c r="AA57" i="31"/>
  <c r="Z57" i="31"/>
  <c r="Y57" i="31"/>
  <c r="S57" i="31"/>
  <c r="O57" i="31"/>
  <c r="K57" i="31"/>
  <c r="G57" i="31"/>
  <c r="D57" i="31"/>
  <c r="AE56" i="31"/>
  <c r="AD56" i="31"/>
  <c r="AC56" i="31"/>
  <c r="AA56" i="31"/>
  <c r="Z56" i="31"/>
  <c r="Y56" i="31"/>
  <c r="O56" i="31"/>
  <c r="K56" i="31"/>
  <c r="G56" i="31"/>
  <c r="D56" i="31"/>
  <c r="AE55" i="31"/>
  <c r="AD55" i="31"/>
  <c r="AC55" i="31"/>
  <c r="AA55" i="31"/>
  <c r="Z55" i="31"/>
  <c r="Y55" i="31"/>
  <c r="W55" i="31"/>
  <c r="V55" i="31"/>
  <c r="U55" i="31"/>
  <c r="S55" i="31"/>
  <c r="R55" i="31"/>
  <c r="Q55" i="31"/>
  <c r="K55" i="31"/>
  <c r="J55" i="31"/>
  <c r="G55" i="31"/>
  <c r="D55" i="31"/>
  <c r="C55" i="31"/>
  <c r="AA53" i="31"/>
  <c r="Z53" i="31"/>
  <c r="Y53" i="31"/>
  <c r="W53" i="31"/>
  <c r="V53" i="31"/>
  <c r="U53" i="31"/>
  <c r="S53" i="31"/>
  <c r="R53" i="31"/>
  <c r="Q53" i="31"/>
  <c r="O53" i="31"/>
  <c r="N53" i="31"/>
  <c r="M53" i="31"/>
  <c r="K53" i="31"/>
  <c r="J53" i="31"/>
  <c r="I53" i="31"/>
  <c r="G53" i="31"/>
  <c r="F53" i="31"/>
  <c r="E53" i="31"/>
  <c r="AA52" i="31"/>
  <c r="W52" i="31"/>
  <c r="V52" i="31"/>
  <c r="U52" i="31"/>
  <c r="S52" i="31"/>
  <c r="R52" i="31"/>
  <c r="Q52" i="31"/>
  <c r="O52" i="31"/>
  <c r="N52" i="31"/>
  <c r="M52" i="31"/>
  <c r="K52" i="31"/>
  <c r="J52" i="31"/>
  <c r="I52" i="31"/>
  <c r="G52" i="31"/>
  <c r="F52" i="31"/>
  <c r="E52" i="31"/>
  <c r="AA51" i="31"/>
  <c r="W51" i="31"/>
  <c r="S51" i="31"/>
  <c r="R51" i="31"/>
  <c r="Q51" i="31"/>
  <c r="O51" i="31"/>
  <c r="N51" i="31"/>
  <c r="M51" i="31"/>
  <c r="K51" i="31"/>
  <c r="J51" i="31"/>
  <c r="I51" i="31"/>
  <c r="G51" i="31"/>
  <c r="F51" i="31"/>
  <c r="E51" i="31"/>
  <c r="AE50" i="31"/>
  <c r="AD50" i="31"/>
  <c r="AC50" i="31"/>
  <c r="W50" i="31"/>
  <c r="S50" i="31"/>
  <c r="O50" i="31"/>
  <c r="N50" i="31"/>
  <c r="M50" i="31"/>
  <c r="K50" i="31"/>
  <c r="J50" i="31"/>
  <c r="I50" i="31"/>
  <c r="G50" i="31"/>
  <c r="F50" i="31"/>
  <c r="E50" i="31"/>
  <c r="AE49" i="31"/>
  <c r="AD49" i="31"/>
  <c r="AC49" i="31"/>
  <c r="AA49" i="31"/>
  <c r="Z49" i="31"/>
  <c r="Y49" i="31"/>
  <c r="S49" i="31"/>
  <c r="O49" i="31"/>
  <c r="K49" i="31"/>
  <c r="J49" i="31"/>
  <c r="I49" i="31"/>
  <c r="G49" i="31"/>
  <c r="F49" i="31"/>
  <c r="E49" i="31"/>
  <c r="AE48" i="31"/>
  <c r="AD48" i="31"/>
  <c r="AC48" i="31"/>
  <c r="AA48" i="31"/>
  <c r="Z48" i="31"/>
  <c r="Y48" i="31"/>
  <c r="W48" i="31"/>
  <c r="V48" i="31"/>
  <c r="U48" i="31"/>
  <c r="O48" i="31"/>
  <c r="K48" i="31"/>
  <c r="G48" i="31"/>
  <c r="F48" i="31"/>
  <c r="E48" i="31"/>
  <c r="AE47" i="31"/>
  <c r="AD47" i="31"/>
  <c r="AC47" i="31"/>
  <c r="AA47" i="31"/>
  <c r="Z47" i="31"/>
  <c r="Y47" i="31"/>
  <c r="W47" i="31"/>
  <c r="V47" i="31"/>
  <c r="U47" i="31"/>
  <c r="S47" i="31"/>
  <c r="R47" i="31"/>
  <c r="Q47" i="31"/>
  <c r="K47" i="31"/>
  <c r="G47" i="31"/>
  <c r="D47" i="31"/>
  <c r="AE46" i="31"/>
  <c r="AD46" i="31"/>
  <c r="AC46" i="31"/>
  <c r="AA46" i="31"/>
  <c r="Z46" i="31"/>
  <c r="Y46" i="31"/>
  <c r="W46" i="31"/>
  <c r="V46" i="31"/>
  <c r="U46" i="31"/>
  <c r="S46" i="31"/>
  <c r="R46" i="31"/>
  <c r="Q46" i="31"/>
  <c r="G46" i="31"/>
  <c r="D46" i="31"/>
  <c r="AA44" i="31"/>
  <c r="Z44" i="31"/>
  <c r="Y44" i="31"/>
  <c r="W44" i="31"/>
  <c r="V44" i="31"/>
  <c r="U44" i="31"/>
  <c r="S44" i="31"/>
  <c r="R44" i="31"/>
  <c r="Q44" i="31"/>
  <c r="O44" i="31"/>
  <c r="N44" i="31"/>
  <c r="M44" i="31"/>
  <c r="K44" i="31"/>
  <c r="J44" i="31"/>
  <c r="I44" i="31"/>
  <c r="G44" i="31"/>
  <c r="F44" i="31"/>
  <c r="E44" i="31"/>
  <c r="D44" i="31"/>
  <c r="AH44" i="31" s="1"/>
  <c r="AA43" i="31"/>
  <c r="W43" i="31"/>
  <c r="V43" i="31"/>
  <c r="U43" i="31"/>
  <c r="S43" i="31"/>
  <c r="R43" i="31"/>
  <c r="Q43" i="31"/>
  <c r="O43" i="31"/>
  <c r="N43" i="31"/>
  <c r="M43" i="31"/>
  <c r="K43" i="31"/>
  <c r="J43" i="31"/>
  <c r="I43" i="31"/>
  <c r="G43" i="31"/>
  <c r="F43" i="31"/>
  <c r="E43" i="31"/>
  <c r="D43" i="31"/>
  <c r="AH43" i="31" s="1"/>
  <c r="AA42" i="31"/>
  <c r="W42" i="31"/>
  <c r="S42" i="31"/>
  <c r="R42" i="31"/>
  <c r="Q42" i="31"/>
  <c r="O42" i="31"/>
  <c r="N42" i="31"/>
  <c r="M42" i="31"/>
  <c r="K42" i="31"/>
  <c r="J42" i="31"/>
  <c r="I42" i="31"/>
  <c r="G42" i="31"/>
  <c r="F42" i="31"/>
  <c r="E42" i="31"/>
  <c r="D42" i="31"/>
  <c r="AH42" i="31" s="1"/>
  <c r="AA41" i="31"/>
  <c r="W41" i="31"/>
  <c r="S41" i="31"/>
  <c r="O41" i="31"/>
  <c r="N41" i="31"/>
  <c r="M41" i="31"/>
  <c r="K41" i="31"/>
  <c r="J41" i="31"/>
  <c r="I41" i="31"/>
  <c r="G41" i="31"/>
  <c r="F41" i="31"/>
  <c r="E41" i="31"/>
  <c r="D41" i="31"/>
  <c r="AH41" i="31" s="1"/>
  <c r="AE40" i="31"/>
  <c r="AD40" i="31"/>
  <c r="AC40" i="31"/>
  <c r="W40" i="31"/>
  <c r="S40" i="31"/>
  <c r="O40" i="31"/>
  <c r="K40" i="31"/>
  <c r="J40" i="31"/>
  <c r="I40" i="31"/>
  <c r="G40" i="31"/>
  <c r="F40" i="31"/>
  <c r="E40" i="31"/>
  <c r="D40" i="31"/>
  <c r="AE39" i="31"/>
  <c r="AD39" i="31"/>
  <c r="AC39" i="31"/>
  <c r="AA39" i="31"/>
  <c r="Z39" i="31"/>
  <c r="Y39" i="31"/>
  <c r="S39" i="31"/>
  <c r="O39" i="31"/>
  <c r="K39" i="31"/>
  <c r="G39" i="31"/>
  <c r="F39" i="31"/>
  <c r="E39" i="31"/>
  <c r="D39" i="31"/>
  <c r="AE38" i="31"/>
  <c r="AD38" i="31"/>
  <c r="AC38" i="31"/>
  <c r="AA38" i="31"/>
  <c r="Z38" i="31"/>
  <c r="Y38" i="31"/>
  <c r="W38" i="31"/>
  <c r="V38" i="31"/>
  <c r="U38" i="31"/>
  <c r="O38" i="31"/>
  <c r="K38" i="31"/>
  <c r="G38" i="31"/>
  <c r="D38" i="31"/>
  <c r="AE37" i="31"/>
  <c r="AD37" i="31"/>
  <c r="AC37" i="31"/>
  <c r="AA37" i="31"/>
  <c r="Z37" i="31"/>
  <c r="Y37" i="31"/>
  <c r="W37" i="31"/>
  <c r="V37" i="31"/>
  <c r="U37" i="31"/>
  <c r="S37" i="31"/>
  <c r="R37" i="31"/>
  <c r="Q37" i="31"/>
  <c r="K37" i="31"/>
  <c r="G37" i="31"/>
  <c r="D37" i="31"/>
  <c r="AA35" i="31"/>
  <c r="Z35" i="31"/>
  <c r="Y35" i="31"/>
  <c r="W35" i="31"/>
  <c r="V35" i="31"/>
  <c r="U35" i="31"/>
  <c r="S35" i="31"/>
  <c r="R35" i="31"/>
  <c r="Q35" i="31"/>
  <c r="O35" i="31"/>
  <c r="N35" i="31"/>
  <c r="M35" i="31"/>
  <c r="K35" i="31"/>
  <c r="J35" i="31"/>
  <c r="I35" i="31"/>
  <c r="G35" i="31"/>
  <c r="F35" i="31"/>
  <c r="E35" i="31"/>
  <c r="D35" i="31"/>
  <c r="AH35" i="31" s="1"/>
  <c r="AA34" i="31"/>
  <c r="W34" i="31"/>
  <c r="V34" i="31"/>
  <c r="U34" i="31"/>
  <c r="S34" i="31"/>
  <c r="R34" i="31"/>
  <c r="Q34" i="31"/>
  <c r="O34" i="31"/>
  <c r="N34" i="31"/>
  <c r="M34" i="31"/>
  <c r="K34" i="31"/>
  <c r="J34" i="31"/>
  <c r="I34" i="31"/>
  <c r="G34" i="31"/>
  <c r="F34" i="31"/>
  <c r="E34" i="31"/>
  <c r="AA33" i="31"/>
  <c r="W33" i="31"/>
  <c r="S33" i="31"/>
  <c r="R33" i="31"/>
  <c r="Q33" i="31"/>
  <c r="O33" i="31"/>
  <c r="N33" i="31"/>
  <c r="M33" i="31"/>
  <c r="K33" i="31"/>
  <c r="J33" i="31"/>
  <c r="I33" i="31"/>
  <c r="G33" i="31"/>
  <c r="F33" i="31"/>
  <c r="E33" i="31"/>
  <c r="AE32" i="31"/>
  <c r="AD32" i="31"/>
  <c r="AC32" i="31"/>
  <c r="W32" i="31"/>
  <c r="S32" i="31"/>
  <c r="O32" i="31"/>
  <c r="N32" i="31"/>
  <c r="M32" i="31"/>
  <c r="K32" i="31"/>
  <c r="J32" i="31"/>
  <c r="I32" i="31"/>
  <c r="G32" i="31"/>
  <c r="F32" i="31"/>
  <c r="E32" i="31"/>
  <c r="AE31" i="31"/>
  <c r="AD31" i="31"/>
  <c r="AC31" i="31"/>
  <c r="AA31" i="31"/>
  <c r="Z31" i="31"/>
  <c r="Y31" i="31"/>
  <c r="S31" i="31"/>
  <c r="O31" i="31"/>
  <c r="K31" i="31"/>
  <c r="J31" i="31"/>
  <c r="I31" i="31"/>
  <c r="G31" i="31"/>
  <c r="F31" i="31"/>
  <c r="E31" i="31"/>
  <c r="AE30" i="31"/>
  <c r="AD30" i="31"/>
  <c r="AC30" i="31"/>
  <c r="AA30" i="31"/>
  <c r="Z30" i="31"/>
  <c r="Y30" i="31"/>
  <c r="W30" i="31"/>
  <c r="V30" i="31"/>
  <c r="U30" i="31"/>
  <c r="O30" i="31"/>
  <c r="K30" i="31"/>
  <c r="G30" i="31"/>
  <c r="F30" i="31"/>
  <c r="E30" i="31"/>
  <c r="D30" i="31"/>
  <c r="AE29" i="31"/>
  <c r="AD29" i="31"/>
  <c r="AC29" i="31"/>
  <c r="AA29" i="31"/>
  <c r="Z29" i="31"/>
  <c r="Y29" i="31"/>
  <c r="W29" i="31"/>
  <c r="V29" i="31"/>
  <c r="U29" i="31"/>
  <c r="S29" i="31"/>
  <c r="R29" i="31"/>
  <c r="Q29" i="31"/>
  <c r="K29" i="31"/>
  <c r="G29" i="31"/>
  <c r="D29" i="31"/>
  <c r="AE28" i="31"/>
  <c r="AD28" i="31"/>
  <c r="AC28" i="31"/>
  <c r="AA28" i="31"/>
  <c r="Z28" i="31"/>
  <c r="Y28" i="31"/>
  <c r="W28" i="31"/>
  <c r="V28" i="31"/>
  <c r="U28" i="31"/>
  <c r="S28" i="31"/>
  <c r="R28" i="31"/>
  <c r="Q28" i="31"/>
  <c r="O28" i="31"/>
  <c r="N28" i="31"/>
  <c r="M28" i="31"/>
  <c r="G28" i="31"/>
  <c r="D28" i="31"/>
  <c r="AN27" i="31"/>
  <c r="AA26" i="31"/>
  <c r="Z26" i="31"/>
  <c r="Y26" i="31"/>
  <c r="W26" i="31"/>
  <c r="V26" i="31"/>
  <c r="U26" i="31"/>
  <c r="S26" i="31"/>
  <c r="R26" i="31"/>
  <c r="Q26" i="31"/>
  <c r="O26" i="31"/>
  <c r="N26" i="31"/>
  <c r="M26" i="31"/>
  <c r="K26" i="31"/>
  <c r="J26" i="31"/>
  <c r="I26" i="31"/>
  <c r="G26" i="31"/>
  <c r="F26" i="31"/>
  <c r="E26" i="31"/>
  <c r="D26" i="31"/>
  <c r="AH26" i="31" s="1"/>
  <c r="AA25" i="31"/>
  <c r="W25" i="31"/>
  <c r="V25" i="31"/>
  <c r="U25" i="31"/>
  <c r="S25" i="31"/>
  <c r="R25" i="31"/>
  <c r="Q25" i="31"/>
  <c r="O25" i="31"/>
  <c r="N25" i="31"/>
  <c r="M25" i="31"/>
  <c r="K25" i="31"/>
  <c r="J25" i="31"/>
  <c r="I25" i="31"/>
  <c r="G25" i="31"/>
  <c r="F25" i="31"/>
  <c r="E25" i="31"/>
  <c r="D25" i="31"/>
  <c r="AH25" i="31" s="1"/>
  <c r="AA24" i="31"/>
  <c r="W24" i="31"/>
  <c r="S24" i="31"/>
  <c r="R24" i="31"/>
  <c r="Q24" i="31"/>
  <c r="O24" i="31"/>
  <c r="N24" i="31"/>
  <c r="M24" i="31"/>
  <c r="K24" i="31"/>
  <c r="J24" i="31"/>
  <c r="I24" i="31"/>
  <c r="G24" i="31"/>
  <c r="F24" i="31"/>
  <c r="E24" i="31"/>
  <c r="D24" i="31"/>
  <c r="AH24" i="31" s="1"/>
  <c r="AA23" i="31"/>
  <c r="W23" i="31"/>
  <c r="S23" i="31"/>
  <c r="O23" i="31"/>
  <c r="N23" i="31"/>
  <c r="M23" i="31"/>
  <c r="K23" i="31"/>
  <c r="J23" i="31"/>
  <c r="I23" i="31"/>
  <c r="G23" i="31"/>
  <c r="F23" i="31"/>
  <c r="E23" i="31"/>
  <c r="D23" i="31"/>
  <c r="AH23" i="31" s="1"/>
  <c r="AA22" i="31"/>
  <c r="W22" i="31"/>
  <c r="S22" i="31"/>
  <c r="O22" i="31"/>
  <c r="K22" i="31"/>
  <c r="J22" i="31"/>
  <c r="I22" i="31"/>
  <c r="G22" i="31"/>
  <c r="F22" i="31"/>
  <c r="E22" i="31"/>
  <c r="D22" i="31"/>
  <c r="AH22" i="31" s="1"/>
  <c r="AE21" i="31"/>
  <c r="AD21" i="31"/>
  <c r="AC21" i="31"/>
  <c r="W21" i="31"/>
  <c r="S21" i="31"/>
  <c r="O21" i="31"/>
  <c r="K21" i="31"/>
  <c r="G21" i="31"/>
  <c r="F21" i="31"/>
  <c r="E21" i="31"/>
  <c r="D21" i="31"/>
  <c r="AE20" i="31"/>
  <c r="AD20" i="31"/>
  <c r="AC20" i="31"/>
  <c r="AA20" i="31"/>
  <c r="Z20" i="31"/>
  <c r="Y20" i="31"/>
  <c r="S20" i="31"/>
  <c r="O20" i="31"/>
  <c r="K20" i="31"/>
  <c r="G20" i="31"/>
  <c r="D20" i="31"/>
  <c r="AE19" i="31"/>
  <c r="AD19" i="31"/>
  <c r="AC19" i="31"/>
  <c r="AA19" i="31"/>
  <c r="Z19" i="31"/>
  <c r="Y19" i="31"/>
  <c r="W19" i="31"/>
  <c r="V19" i="31"/>
  <c r="U19" i="31"/>
  <c r="O19" i="31"/>
  <c r="K19" i="31"/>
  <c r="G19" i="31"/>
  <c r="D19" i="31"/>
  <c r="AA193" i="31"/>
  <c r="Y193" i="31"/>
  <c r="V193" i="31"/>
  <c r="U193" i="31"/>
  <c r="Q193" i="31"/>
  <c r="N193" i="31"/>
  <c r="K193" i="31"/>
  <c r="I193" i="31"/>
  <c r="F193" i="31"/>
  <c r="F187" i="31" s="1"/>
  <c r="E193" i="31"/>
  <c r="E187" i="31" s="1"/>
  <c r="F191" i="31"/>
  <c r="B12" i="31"/>
  <c r="B191" i="31" s="1"/>
  <c r="AA190" i="31"/>
  <c r="Z190" i="31"/>
  <c r="W190" i="31"/>
  <c r="V190" i="31"/>
  <c r="S190" i="31"/>
  <c r="R190" i="31"/>
  <c r="Q190" i="31"/>
  <c r="O190" i="31"/>
  <c r="O188" i="31" s="1"/>
  <c r="N190" i="31"/>
  <c r="K190" i="31"/>
  <c r="J190" i="31"/>
  <c r="AP10" i="31"/>
  <c r="B9" i="31"/>
  <c r="B188" i="31" s="1"/>
  <c r="AP7" i="31"/>
  <c r="AR6" i="31"/>
  <c r="D5" i="27" l="1"/>
  <c r="G5" i="27"/>
  <c r="J5" i="27"/>
  <c r="M5" i="27"/>
  <c r="P8" i="31"/>
  <c r="P7" i="31"/>
  <c r="P12" i="31"/>
  <c r="T9" i="31"/>
  <c r="T6" i="31" s="1"/>
  <c r="AR10" i="31"/>
  <c r="G18" i="31"/>
  <c r="D34" i="31"/>
  <c r="AH34" i="31" s="1"/>
  <c r="W163" i="31"/>
  <c r="S209" i="31" s="1"/>
  <c r="S207" i="31" s="1"/>
  <c r="AR5" i="31"/>
  <c r="C56" i="31"/>
  <c r="C48" i="31"/>
  <c r="K18" i="31"/>
  <c r="U88" i="31"/>
  <c r="C49" i="31"/>
  <c r="AG49" i="31" s="1"/>
  <c r="C31" i="31"/>
  <c r="AG31" i="31" s="1"/>
  <c r="C39" i="31"/>
  <c r="C40" i="31"/>
  <c r="AG40" i="31" s="1"/>
  <c r="AE142" i="31"/>
  <c r="AL142" i="31" s="1"/>
  <c r="C145" i="31"/>
  <c r="U151" i="31"/>
  <c r="Y151" i="31" s="1"/>
  <c r="AC151" i="31" s="1"/>
  <c r="Y152" i="31"/>
  <c r="AC152" i="31" s="1"/>
  <c r="AJ152" i="31" s="1"/>
  <c r="M140" i="31"/>
  <c r="D32" i="31"/>
  <c r="AH32" i="31" s="1"/>
  <c r="AA141" i="31"/>
  <c r="AL141" i="31" s="1"/>
  <c r="AP5" i="31"/>
  <c r="AG123" i="31"/>
  <c r="C34" i="31"/>
  <c r="AG34" i="31" s="1"/>
  <c r="D51" i="31"/>
  <c r="AH51" i="31" s="1"/>
  <c r="F55" i="31"/>
  <c r="N55" i="31"/>
  <c r="AK55" i="31" s="1"/>
  <c r="I66" i="31"/>
  <c r="I64" i="31" s="1"/>
  <c r="K101" i="31"/>
  <c r="K100" i="31" s="1"/>
  <c r="K72" i="31" s="1"/>
  <c r="C52" i="31"/>
  <c r="AG52" i="31" s="1"/>
  <c r="I164" i="31"/>
  <c r="I55" i="31" s="1"/>
  <c r="AP8" i="31"/>
  <c r="D31" i="31"/>
  <c r="AH31" i="31" s="1"/>
  <c r="C66" i="31"/>
  <c r="D33" i="31"/>
  <c r="AH33" i="31" s="1"/>
  <c r="D18" i="31"/>
  <c r="C19" i="31"/>
  <c r="AH73" i="31"/>
  <c r="C24" i="31"/>
  <c r="AG24" i="31" s="1"/>
  <c r="R38" i="31"/>
  <c r="G64" i="31"/>
  <c r="AA70" i="31"/>
  <c r="AL70" i="31" s="1"/>
  <c r="F93" i="31"/>
  <c r="J93" i="31" s="1"/>
  <c r="N93" i="31" s="1"/>
  <c r="AK93" i="31" s="1"/>
  <c r="C23" i="31"/>
  <c r="AG23" i="31" s="1"/>
  <c r="R150" i="31"/>
  <c r="V150" i="31" s="1"/>
  <c r="Z150" i="31" s="1"/>
  <c r="Z179" i="31"/>
  <c r="AK179" i="31" s="1"/>
  <c r="C38" i="31"/>
  <c r="AL42" i="31"/>
  <c r="D50" i="31"/>
  <c r="AH50" i="31" s="1"/>
  <c r="C53" i="31"/>
  <c r="AG53" i="31" s="1"/>
  <c r="J64" i="31"/>
  <c r="M103" i="31"/>
  <c r="Q103" i="31" s="1"/>
  <c r="U115" i="31"/>
  <c r="Y115" i="31" s="1"/>
  <c r="AC115" i="31" s="1"/>
  <c r="AC61" i="31" s="1"/>
  <c r="AG117" i="31"/>
  <c r="AK118" i="31"/>
  <c r="F147" i="31"/>
  <c r="J147" i="31" s="1"/>
  <c r="N147" i="31" s="1"/>
  <c r="AK147" i="31" s="1"/>
  <c r="N149" i="31"/>
  <c r="R149" i="31" s="1"/>
  <c r="V149" i="31" s="1"/>
  <c r="AA64" i="31"/>
  <c r="AR9" i="31"/>
  <c r="AR11" i="31" s="1"/>
  <c r="C59" i="31"/>
  <c r="AG59" i="31" s="1"/>
  <c r="V115" i="31"/>
  <c r="Z115" i="31" s="1"/>
  <c r="AD115" i="31" s="1"/>
  <c r="AK115" i="31" s="1"/>
  <c r="AH136" i="31"/>
  <c r="S147" i="31"/>
  <c r="AL147" i="31" s="1"/>
  <c r="V160" i="31"/>
  <c r="AO6" i="31"/>
  <c r="AP9" i="31"/>
  <c r="AL25" i="31"/>
  <c r="C44" i="31"/>
  <c r="AG44" i="31" s="1"/>
  <c r="D52" i="31"/>
  <c r="AH52" i="31" s="1"/>
  <c r="O54" i="31"/>
  <c r="C61" i="31"/>
  <c r="AG61" i="31" s="1"/>
  <c r="E83" i="31"/>
  <c r="I83" i="31" s="1"/>
  <c r="I84" i="31"/>
  <c r="M84" i="31" s="1"/>
  <c r="AJ84" i="31" s="1"/>
  <c r="I85" i="31"/>
  <c r="C32" i="31"/>
  <c r="AG32" i="31" s="1"/>
  <c r="V88" i="31"/>
  <c r="AC89" i="31"/>
  <c r="AC34" i="31" s="1"/>
  <c r="Q93" i="31"/>
  <c r="N95" i="31"/>
  <c r="R96" i="31"/>
  <c r="V97" i="31"/>
  <c r="Z97" i="31" s="1"/>
  <c r="S103" i="31"/>
  <c r="AL103" i="31" s="1"/>
  <c r="AC107" i="31"/>
  <c r="AH109" i="31"/>
  <c r="D208" i="31" s="1"/>
  <c r="Y124" i="31"/>
  <c r="AJ124" i="31" s="1"/>
  <c r="AI124" i="31" s="1"/>
  <c r="M131" i="31"/>
  <c r="AC131" i="31" s="1"/>
  <c r="E146" i="31"/>
  <c r="I146" i="31" s="1"/>
  <c r="AD150" i="31"/>
  <c r="F156" i="31"/>
  <c r="M158" i="31"/>
  <c r="Y160" i="31"/>
  <c r="AC160" i="31" s="1"/>
  <c r="E166" i="31"/>
  <c r="I166" i="31" s="1"/>
  <c r="M166" i="31" s="1"/>
  <c r="AG169" i="31"/>
  <c r="Y171" i="31"/>
  <c r="AC171" i="31" s="1"/>
  <c r="AJ171" i="31" s="1"/>
  <c r="AI174" i="31"/>
  <c r="S85" i="31"/>
  <c r="AL85" i="31" s="1"/>
  <c r="O146" i="31"/>
  <c r="AL146" i="31" s="1"/>
  <c r="AO5" i="31"/>
  <c r="AQ8" i="31"/>
  <c r="AQ9" i="31"/>
  <c r="AL24" i="31"/>
  <c r="C28" i="31"/>
  <c r="C37" i="31"/>
  <c r="D49" i="31"/>
  <c r="AH49" i="31" s="1"/>
  <c r="M55" i="31"/>
  <c r="AJ55" i="31" s="1"/>
  <c r="F64" i="31"/>
  <c r="K64" i="31"/>
  <c r="F83" i="31"/>
  <c r="J83" i="31" s="1"/>
  <c r="J84" i="31"/>
  <c r="N84" i="31" s="1"/>
  <c r="J85" i="31"/>
  <c r="M86" i="31"/>
  <c r="M31" i="31" s="1"/>
  <c r="AE88" i="31"/>
  <c r="Y95" i="31"/>
  <c r="Y40" i="31" s="1"/>
  <c r="AC96" i="31"/>
  <c r="AC41" i="31" s="1"/>
  <c r="AG97" i="31"/>
  <c r="I103" i="31"/>
  <c r="AD107" i="31"/>
  <c r="AK107" i="31" s="1"/>
  <c r="AI120" i="31"/>
  <c r="N131" i="31"/>
  <c r="AD131" i="31" s="1"/>
  <c r="W140" i="31"/>
  <c r="AL140" i="31" s="1"/>
  <c r="AG140" i="31"/>
  <c r="U141" i="31"/>
  <c r="Y141" i="31" s="1"/>
  <c r="Z142" i="31"/>
  <c r="AD142" i="31" s="1"/>
  <c r="Y143" i="31"/>
  <c r="AJ143" i="31" s="1"/>
  <c r="F146" i="31"/>
  <c r="E147" i="31"/>
  <c r="I147" i="31" s="1"/>
  <c r="M147" i="31" s="1"/>
  <c r="I156" i="31"/>
  <c r="M156" i="31" s="1"/>
  <c r="AJ156" i="31" s="1"/>
  <c r="N158" i="31"/>
  <c r="AK158" i="31" s="1"/>
  <c r="AG160" i="31"/>
  <c r="F166" i="31"/>
  <c r="V166" i="31" s="1"/>
  <c r="AJ170" i="31"/>
  <c r="Z171" i="31"/>
  <c r="AD171" i="31" s="1"/>
  <c r="C63" i="31"/>
  <c r="AG63" i="31" s="1"/>
  <c r="O18" i="31"/>
  <c r="C22" i="31"/>
  <c r="AG22" i="31" s="1"/>
  <c r="C33" i="31"/>
  <c r="AG33" i="31" s="1"/>
  <c r="AL35" i="31"/>
  <c r="C41" i="31"/>
  <c r="AG41" i="31" s="1"/>
  <c r="C42" i="31"/>
  <c r="AG42" i="31" s="1"/>
  <c r="C60" i="31"/>
  <c r="AG60" i="31" s="1"/>
  <c r="C62" i="31"/>
  <c r="AG62" i="31" s="1"/>
  <c r="AH64" i="31"/>
  <c r="C70" i="31"/>
  <c r="AG70" i="31" s="1"/>
  <c r="N86" i="31"/>
  <c r="N31" i="31" s="1"/>
  <c r="J103" i="31"/>
  <c r="AG142" i="31"/>
  <c r="AD143" i="31"/>
  <c r="N146" i="31"/>
  <c r="AK146" i="31" s="1"/>
  <c r="J156" i="31"/>
  <c r="N156" i="31" s="1"/>
  <c r="AK156" i="31" s="1"/>
  <c r="AG158" i="31"/>
  <c r="AE180" i="31"/>
  <c r="AE77" i="31"/>
  <c r="AG77" i="31"/>
  <c r="N77" i="31"/>
  <c r="AD81" i="31"/>
  <c r="AK81" i="31" s="1"/>
  <c r="AG81" i="31"/>
  <c r="Z98" i="31"/>
  <c r="Y98" i="31"/>
  <c r="AA130" i="31"/>
  <c r="AL130" i="31" s="1"/>
  <c r="J130" i="31"/>
  <c r="I130" i="31"/>
  <c r="Y130" i="31" s="1"/>
  <c r="AQ5" i="31"/>
  <c r="AS5" i="31" s="1"/>
  <c r="J138" i="31"/>
  <c r="N138" i="31" s="1"/>
  <c r="E138" i="31"/>
  <c r="J146" i="31"/>
  <c r="Q159" i="31"/>
  <c r="R159" i="31"/>
  <c r="AQ7" i="31"/>
  <c r="Z70" i="31"/>
  <c r="Z64" i="31" s="1"/>
  <c r="Z173" i="31"/>
  <c r="AQ10" i="31"/>
  <c r="AL23" i="31"/>
  <c r="C26" i="31"/>
  <c r="AG26" i="31" s="1"/>
  <c r="C43" i="31"/>
  <c r="AG43" i="31" s="1"/>
  <c r="AK65" i="31"/>
  <c r="AK66" i="31"/>
  <c r="W75" i="31"/>
  <c r="F75" i="31"/>
  <c r="E75" i="31"/>
  <c r="C20" i="31"/>
  <c r="M77" i="31"/>
  <c r="Q77" i="31" s="1"/>
  <c r="AG98" i="31"/>
  <c r="M113" i="31"/>
  <c r="AG113" i="31"/>
  <c r="AL148" i="31"/>
  <c r="AH145" i="31"/>
  <c r="D203" i="31" s="1"/>
  <c r="N157" i="31"/>
  <c r="I157" i="31"/>
  <c r="C154" i="31"/>
  <c r="U178" i="31"/>
  <c r="W178" i="31"/>
  <c r="W69" i="31" s="1"/>
  <c r="AL69" i="31" s="1"/>
  <c r="V178" i="31"/>
  <c r="V69" i="31" s="1"/>
  <c r="AK69" i="31" s="1"/>
  <c r="C69" i="31"/>
  <c r="AG69" i="31" s="1"/>
  <c r="AO8" i="31"/>
  <c r="C21" i="31"/>
  <c r="AL26" i="31"/>
  <c r="K36" i="31"/>
  <c r="C50" i="31"/>
  <c r="AG50" i="31" s="1"/>
  <c r="AL53" i="31"/>
  <c r="D54" i="31"/>
  <c r="D64" i="31"/>
  <c r="AL65" i="31"/>
  <c r="J102" i="31"/>
  <c r="I102" i="31"/>
  <c r="F102" i="31"/>
  <c r="C47" i="31"/>
  <c r="E102" i="31"/>
  <c r="E47" i="31" s="1"/>
  <c r="AG106" i="31"/>
  <c r="Y106" i="31"/>
  <c r="V106" i="31"/>
  <c r="AE106" i="31"/>
  <c r="C51" i="31"/>
  <c r="AG51" i="31" s="1"/>
  <c r="U106" i="31"/>
  <c r="I111" i="31"/>
  <c r="N113" i="31"/>
  <c r="AG135" i="31"/>
  <c r="AC135" i="31"/>
  <c r="AJ135" i="31" s="1"/>
  <c r="AA159" i="31"/>
  <c r="M167" i="31"/>
  <c r="Q167" i="31" s="1"/>
  <c r="U167" i="31" s="1"/>
  <c r="Y167" i="31"/>
  <c r="AO7" i="31"/>
  <c r="AO9" i="31"/>
  <c r="K28" i="31"/>
  <c r="K27" i="31" s="1"/>
  <c r="C29" i="31"/>
  <c r="AL43" i="31"/>
  <c r="G45" i="31"/>
  <c r="AL55" i="31"/>
  <c r="C57" i="31"/>
  <c r="C82" i="31"/>
  <c r="AI83" i="31"/>
  <c r="AH82" i="31"/>
  <c r="D199" i="31" s="1"/>
  <c r="O102" i="31"/>
  <c r="F111" i="31"/>
  <c r="K126" i="31"/>
  <c r="AK155" i="31"/>
  <c r="AD162" i="31"/>
  <c r="AK162" i="31" s="1"/>
  <c r="AC162" i="31"/>
  <c r="AJ162" i="31" s="1"/>
  <c r="AE168" i="31"/>
  <c r="N168" i="31"/>
  <c r="AD168" i="31" s="1"/>
  <c r="AG168" i="31"/>
  <c r="AQ6" i="31"/>
  <c r="M168" i="31"/>
  <c r="AC168" i="31" s="1"/>
  <c r="AG104" i="31"/>
  <c r="N104" i="31"/>
  <c r="W104" i="31"/>
  <c r="W100" i="31" s="1"/>
  <c r="M104" i="31"/>
  <c r="R105" i="31"/>
  <c r="AA105" i="31"/>
  <c r="Z116" i="31"/>
  <c r="Y116" i="31"/>
  <c r="Q122" i="31"/>
  <c r="AG122" i="31"/>
  <c r="C68" i="31"/>
  <c r="AG68" i="31" s="1"/>
  <c r="C71" i="31"/>
  <c r="AG71" i="31" s="1"/>
  <c r="AC125" i="31"/>
  <c r="AJ125" i="31" s="1"/>
  <c r="AI125" i="31" s="1"/>
  <c r="F137" i="31"/>
  <c r="E137" i="31"/>
  <c r="Z161" i="31"/>
  <c r="Z52" i="31" s="1"/>
  <c r="AC161" i="31"/>
  <c r="M176" i="31"/>
  <c r="O176" i="31"/>
  <c r="S177" i="31"/>
  <c r="R177" i="31"/>
  <c r="AK177" i="31" s="1"/>
  <c r="Q177" i="31"/>
  <c r="Q173" i="31" s="1"/>
  <c r="M193" i="31" s="1"/>
  <c r="AC193" i="31" s="1"/>
  <c r="AO10" i="31"/>
  <c r="AS10" i="31" s="1"/>
  <c r="G27" i="31"/>
  <c r="AL34" i="31"/>
  <c r="AL44" i="31"/>
  <c r="AL52" i="31"/>
  <c r="C58" i="31"/>
  <c r="AH54" i="31"/>
  <c r="AL60" i="31"/>
  <c r="AL63" i="31"/>
  <c r="AA76" i="31"/>
  <c r="J76" i="31"/>
  <c r="N76" i="31" s="1"/>
  <c r="I76" i="31"/>
  <c r="V79" i="31"/>
  <c r="Z79" i="31" s="1"/>
  <c r="AG79" i="31"/>
  <c r="U79" i="31"/>
  <c r="Y79" i="31" s="1"/>
  <c r="AC99" i="31"/>
  <c r="AG99" i="31"/>
  <c r="Q104" i="31"/>
  <c r="U104" i="31" s="1"/>
  <c r="Q105" i="31"/>
  <c r="AC108" i="31"/>
  <c r="AJ108" i="31" s="1"/>
  <c r="J112" i="31"/>
  <c r="AJ123" i="31"/>
  <c r="AI123" i="31" s="1"/>
  <c r="U118" i="31"/>
  <c r="G126" i="31"/>
  <c r="W129" i="31"/>
  <c r="W127" i="31" s="1"/>
  <c r="F129" i="31"/>
  <c r="J129" i="31" s="1"/>
  <c r="N129" i="31" s="1"/>
  <c r="R129" i="31" s="1"/>
  <c r="E129" i="31"/>
  <c r="U129" i="31" s="1"/>
  <c r="AH127" i="31"/>
  <c r="D197" i="31" s="1"/>
  <c r="AG144" i="31"/>
  <c r="AC144" i="31"/>
  <c r="AJ144" i="31" s="1"/>
  <c r="V148" i="31"/>
  <c r="I148" i="31"/>
  <c r="M148" i="31" s="1"/>
  <c r="Q148" i="31" s="1"/>
  <c r="AA167" i="31"/>
  <c r="J167" i="31"/>
  <c r="N167" i="31" s="1"/>
  <c r="Q169" i="31"/>
  <c r="U169" i="31" s="1"/>
  <c r="Y169" i="31" s="1"/>
  <c r="AC169" i="31" s="1"/>
  <c r="N176" i="31"/>
  <c r="N67" i="31" s="1"/>
  <c r="AK67" i="31" s="1"/>
  <c r="AH173" i="31"/>
  <c r="AH14" i="31" s="1"/>
  <c r="D193" i="31" s="1"/>
  <c r="G193" i="31" s="1"/>
  <c r="AL66" i="31"/>
  <c r="M85" i="31"/>
  <c r="Q86" i="31"/>
  <c r="U86" i="31" s="1"/>
  <c r="Y88" i="31"/>
  <c r="AC88" i="31" s="1"/>
  <c r="D72" i="31"/>
  <c r="AH91" i="31"/>
  <c r="D202" i="31" s="1"/>
  <c r="E109" i="31"/>
  <c r="AL118" i="31"/>
  <c r="R140" i="31"/>
  <c r="V140" i="31" s="1"/>
  <c r="AG143" i="31"/>
  <c r="Z149" i="31"/>
  <c r="C173" i="31"/>
  <c r="AI175" i="31"/>
  <c r="AJ180" i="31"/>
  <c r="G72" i="31"/>
  <c r="W86" i="31"/>
  <c r="Y89" i="31"/>
  <c r="R103" i="31"/>
  <c r="AK103" i="31" s="1"/>
  <c r="AH100" i="31"/>
  <c r="D205" i="31" s="1"/>
  <c r="I110" i="31"/>
  <c r="M110" i="31" s="1"/>
  <c r="AC117" i="31"/>
  <c r="AJ117" i="31" s="1"/>
  <c r="AI117" i="31" s="1"/>
  <c r="U133" i="31"/>
  <c r="Y133" i="31" s="1"/>
  <c r="AC133" i="31" s="1"/>
  <c r="D136" i="31"/>
  <c r="Q147" i="31"/>
  <c r="M149" i="31"/>
  <c r="AA149" i="31"/>
  <c r="AA145" i="31" s="1"/>
  <c r="W203" i="31" s="1"/>
  <c r="W201" i="31" s="1"/>
  <c r="Q150" i="31"/>
  <c r="U150" i="31" s="1"/>
  <c r="Y150" i="31" s="1"/>
  <c r="AK152" i="31"/>
  <c r="AC153" i="31"/>
  <c r="AJ153" i="31" s="1"/>
  <c r="O156" i="31"/>
  <c r="AL156" i="31" s="1"/>
  <c r="AE160" i="31"/>
  <c r="AL160" i="31" s="1"/>
  <c r="Y179" i="31"/>
  <c r="AD180" i="31"/>
  <c r="AD173" i="31" s="1"/>
  <c r="AI181" i="31"/>
  <c r="AA188" i="31"/>
  <c r="AA187" i="31"/>
  <c r="AE190" i="31"/>
  <c r="K187" i="31"/>
  <c r="K188" i="31"/>
  <c r="Q187" i="31"/>
  <c r="W188" i="31"/>
  <c r="AJ28" i="31"/>
  <c r="AK46" i="31"/>
  <c r="K54" i="31"/>
  <c r="G54" i="31"/>
  <c r="AG90" i="31"/>
  <c r="AD90" i="31"/>
  <c r="AC90" i="31"/>
  <c r="C35" i="31"/>
  <c r="AG35" i="31" s="1"/>
  <c r="V188" i="31"/>
  <c r="V187" i="31"/>
  <c r="R188" i="31"/>
  <c r="F192" i="31"/>
  <c r="F186" i="31" s="1"/>
  <c r="O193" i="31"/>
  <c r="O187" i="31" s="1"/>
  <c r="AK28" i="31"/>
  <c r="N187" i="31"/>
  <c r="N188" i="31"/>
  <c r="S188" i="31"/>
  <c r="AL28" i="31"/>
  <c r="G36" i="31"/>
  <c r="AH40" i="31"/>
  <c r="AH36" i="31" s="1"/>
  <c r="D36" i="31"/>
  <c r="D196" i="31"/>
  <c r="C118" i="31"/>
  <c r="C65" i="31"/>
  <c r="E119" i="31"/>
  <c r="Z134" i="31"/>
  <c r="AG134" i="31"/>
  <c r="Y134" i="31"/>
  <c r="J139" i="31"/>
  <c r="I139" i="31"/>
  <c r="N139" i="31"/>
  <c r="S139" i="31"/>
  <c r="M139" i="31"/>
  <c r="C136" i="31"/>
  <c r="AD190" i="31"/>
  <c r="J188" i="31"/>
  <c r="Z188" i="31"/>
  <c r="AL62" i="31"/>
  <c r="AJ65" i="31"/>
  <c r="R87" i="31"/>
  <c r="V87" i="31"/>
  <c r="AG87" i="31"/>
  <c r="U87" i="31"/>
  <c r="AA87" i="31"/>
  <c r="Q87" i="31"/>
  <c r="R114" i="31"/>
  <c r="AG114" i="31"/>
  <c r="C109" i="31"/>
  <c r="Q114" i="31"/>
  <c r="AG121" i="31"/>
  <c r="C67" i="31"/>
  <c r="AG67" i="31" s="1"/>
  <c r="M121" i="31"/>
  <c r="AJ66" i="31"/>
  <c r="S74" i="31"/>
  <c r="E74" i="31"/>
  <c r="F74" i="31"/>
  <c r="C73" i="31"/>
  <c r="AG78" i="31"/>
  <c r="Q78" i="31"/>
  <c r="R78" i="31"/>
  <c r="F101" i="31"/>
  <c r="C100" i="31"/>
  <c r="E101" i="31"/>
  <c r="AI137" i="31"/>
  <c r="C25" i="31"/>
  <c r="C30" i="31"/>
  <c r="AL61" i="31"/>
  <c r="AK85" i="31"/>
  <c r="U94" i="31"/>
  <c r="W94" i="31"/>
  <c r="C91" i="31"/>
  <c r="V94" i="31"/>
  <c r="J94" i="31"/>
  <c r="I94" i="31"/>
  <c r="R132" i="31"/>
  <c r="AG132" i="31"/>
  <c r="Q132" i="31"/>
  <c r="AG80" i="31"/>
  <c r="Y80" i="31"/>
  <c r="AD89" i="31"/>
  <c r="M92" i="31"/>
  <c r="E92" i="31"/>
  <c r="N92" i="31"/>
  <c r="Z95" i="31"/>
  <c r="AD96" i="31"/>
  <c r="Y97" i="31"/>
  <c r="AI101" i="31"/>
  <c r="U105" i="31"/>
  <c r="AG105" i="31"/>
  <c r="AG107" i="31"/>
  <c r="AD108" i="31"/>
  <c r="W110" i="31"/>
  <c r="W111" i="31"/>
  <c r="AA112" i="31"/>
  <c r="AE113" i="31"/>
  <c r="AG125" i="31"/>
  <c r="C127" i="31"/>
  <c r="F128" i="31"/>
  <c r="S128" i="31"/>
  <c r="E128" i="31"/>
  <c r="D200" i="31"/>
  <c r="AH162" i="31"/>
  <c r="AH154" i="31" s="1"/>
  <c r="D154" i="31"/>
  <c r="Z80" i="31"/>
  <c r="AC81" i="31"/>
  <c r="F84" i="31"/>
  <c r="O84" i="31"/>
  <c r="AG89" i="31"/>
  <c r="F92" i="31"/>
  <c r="O92" i="31"/>
  <c r="S93" i="31"/>
  <c r="E93" i="31"/>
  <c r="V105" i="31"/>
  <c r="Y107" i="31"/>
  <c r="F110" i="31"/>
  <c r="AI119" i="31"/>
  <c r="AH118" i="31"/>
  <c r="AH11" i="31" s="1"/>
  <c r="R141" i="31"/>
  <c r="Q141" i="31"/>
  <c r="AG141" i="31"/>
  <c r="V141" i="31"/>
  <c r="Z141" i="31" s="1"/>
  <c r="AA95" i="31"/>
  <c r="M95" i="31"/>
  <c r="AE96" i="31"/>
  <c r="Q96" i="31"/>
  <c r="Q112" i="31"/>
  <c r="AG116" i="31"/>
  <c r="S165" i="31"/>
  <c r="E165" i="31"/>
  <c r="C163" i="31"/>
  <c r="F165" i="31"/>
  <c r="R86" i="31"/>
  <c r="Z88" i="31"/>
  <c r="R104" i="31"/>
  <c r="Z106" i="31"/>
  <c r="K195" i="31"/>
  <c r="AE131" i="31"/>
  <c r="V133" i="31"/>
  <c r="AD135" i="31"/>
  <c r="F138" i="31"/>
  <c r="Q140" i="31"/>
  <c r="U142" i="31"/>
  <c r="Z143" i="31"/>
  <c r="AD144" i="31"/>
  <c r="AK144" i="31" s="1"/>
  <c r="J148" i="31"/>
  <c r="N148" i="31" s="1"/>
  <c r="AG149" i="31"/>
  <c r="AE150" i="31"/>
  <c r="V151" i="31"/>
  <c r="AG152" i="31"/>
  <c r="AD153" i="31"/>
  <c r="E155" i="31"/>
  <c r="E154" i="31" s="1"/>
  <c r="I155" i="31"/>
  <c r="O155" i="31"/>
  <c r="F155" i="31"/>
  <c r="AH163" i="31"/>
  <c r="D209" i="31" s="1"/>
  <c r="I138" i="31"/>
  <c r="O138" i="31"/>
  <c r="V142" i="31"/>
  <c r="U148" i="31"/>
  <c r="AG150" i="31"/>
  <c r="AC172" i="31"/>
  <c r="AG172" i="31"/>
  <c r="AD172" i="31"/>
  <c r="Y142" i="31"/>
  <c r="AL164" i="31"/>
  <c r="O163" i="31"/>
  <c r="K209" i="31" s="1"/>
  <c r="K207" i="31" s="1"/>
  <c r="AD161" i="31"/>
  <c r="AD52" i="31" s="1"/>
  <c r="J157" i="31"/>
  <c r="S157" i="31"/>
  <c r="W158" i="31"/>
  <c r="AG159" i="31"/>
  <c r="V159" i="31"/>
  <c r="Z159" i="31" s="1"/>
  <c r="U159" i="31"/>
  <c r="Z160" i="31"/>
  <c r="AD160" i="31" s="1"/>
  <c r="AG161" i="31"/>
  <c r="AG162" i="31"/>
  <c r="V170" i="31"/>
  <c r="AG170" i="31"/>
  <c r="AA173" i="31"/>
  <c r="E174" i="31"/>
  <c r="E173" i="31" s="1"/>
  <c r="AG176" i="31"/>
  <c r="AG177" i="31"/>
  <c r="AG178" i="31"/>
  <c r="AG179" i="31"/>
  <c r="AG180" i="31"/>
  <c r="F185" i="31"/>
  <c r="M157" i="31"/>
  <c r="Y161" i="31"/>
  <c r="AK169" i="31"/>
  <c r="Q158" i="31"/>
  <c r="F154" i="31" l="1"/>
  <c r="AE136" i="31"/>
  <c r="I109" i="31"/>
  <c r="AP11" i="31"/>
  <c r="AH27" i="31"/>
  <c r="O145" i="31"/>
  <c r="K203" i="31" s="1"/>
  <c r="K201" i="31" s="1"/>
  <c r="M145" i="31"/>
  <c r="I203" i="31" s="1"/>
  <c r="R131" i="31"/>
  <c r="V131" i="31" s="1"/>
  <c r="Z131" i="31" s="1"/>
  <c r="AA136" i="31"/>
  <c r="W200" i="31" s="1"/>
  <c r="W198" i="31" s="1"/>
  <c r="D201" i="31"/>
  <c r="M82" i="31"/>
  <c r="I199" i="31" s="1"/>
  <c r="R50" i="31"/>
  <c r="Y62" i="31"/>
  <c r="U42" i="31"/>
  <c r="Z167" i="31"/>
  <c r="I129" i="31"/>
  <c r="M129" i="31" s="1"/>
  <c r="AL149" i="31"/>
  <c r="K46" i="31"/>
  <c r="K45" i="31" s="1"/>
  <c r="Y34" i="31"/>
  <c r="AJ34" i="31" s="1"/>
  <c r="R41" i="31"/>
  <c r="D207" i="31"/>
  <c r="AJ115" i="31"/>
  <c r="AI115" i="31" s="1"/>
  <c r="R168" i="31"/>
  <c r="V168" i="31" s="1"/>
  <c r="AC71" i="31"/>
  <c r="AC82" i="31"/>
  <c r="AC199" i="31" s="1"/>
  <c r="AJ160" i="31"/>
  <c r="U82" i="31"/>
  <c r="Q199" i="31" s="1"/>
  <c r="AI55" i="31"/>
  <c r="AI146" i="31"/>
  <c r="E82" i="31"/>
  <c r="Q100" i="31"/>
  <c r="M205" i="31" s="1"/>
  <c r="V51" i="31"/>
  <c r="D27" i="31"/>
  <c r="N40" i="31"/>
  <c r="V173" i="31"/>
  <c r="J166" i="31"/>
  <c r="N166" i="31" s="1"/>
  <c r="Q131" i="31"/>
  <c r="U131" i="31" s="1"/>
  <c r="Y131" i="31" s="1"/>
  <c r="C27" i="31"/>
  <c r="AC53" i="31"/>
  <c r="AJ53" i="31" s="1"/>
  <c r="Y61" i="31"/>
  <c r="V64" i="31"/>
  <c r="F47" i="31"/>
  <c r="J21" i="31"/>
  <c r="AG54" i="31"/>
  <c r="J82" i="31"/>
  <c r="AH45" i="31"/>
  <c r="AS9" i="31"/>
  <c r="I145" i="31"/>
  <c r="Q168" i="31"/>
  <c r="U168" i="31" s="1"/>
  <c r="AK178" i="31"/>
  <c r="AI156" i="31"/>
  <c r="U61" i="31"/>
  <c r="M130" i="31"/>
  <c r="Q130" i="31" s="1"/>
  <c r="AK149" i="31"/>
  <c r="R95" i="31"/>
  <c r="V95" i="31" s="1"/>
  <c r="E145" i="31"/>
  <c r="M22" i="31"/>
  <c r="AG36" i="31"/>
  <c r="AG91" i="31"/>
  <c r="C202" i="31" s="1"/>
  <c r="N145" i="31"/>
  <c r="J203" i="31" s="1"/>
  <c r="J201" i="31" s="1"/>
  <c r="C54" i="31"/>
  <c r="N38" i="31"/>
  <c r="AK38" i="31" s="1"/>
  <c r="AJ169" i="31"/>
  <c r="S145" i="31"/>
  <c r="O203" i="31" s="1"/>
  <c r="O201" i="31" s="1"/>
  <c r="AG136" i="31"/>
  <c r="C200" i="31" s="1"/>
  <c r="I30" i="31"/>
  <c r="F38" i="31"/>
  <c r="F145" i="31"/>
  <c r="AJ177" i="31"/>
  <c r="D198" i="31"/>
  <c r="S82" i="31"/>
  <c r="N136" i="31"/>
  <c r="J200" i="31" s="1"/>
  <c r="J198" i="31" s="1"/>
  <c r="N173" i="31"/>
  <c r="AJ150" i="31"/>
  <c r="D126" i="31"/>
  <c r="V129" i="31"/>
  <c r="AK129" i="31" s="1"/>
  <c r="AJ103" i="31"/>
  <c r="AI103" i="31" s="1"/>
  <c r="AD34" i="31"/>
  <c r="AD71" i="31"/>
  <c r="AD64" i="31" s="1"/>
  <c r="AC116" i="31"/>
  <c r="AJ116" i="31" s="1"/>
  <c r="AO11" i="31"/>
  <c r="J48" i="31"/>
  <c r="AK176" i="31"/>
  <c r="F163" i="31"/>
  <c r="AJ141" i="31"/>
  <c r="AL129" i="31"/>
  <c r="AK180" i="31"/>
  <c r="J30" i="31"/>
  <c r="V96" i="31"/>
  <c r="Z96" i="31" s="1"/>
  <c r="N22" i="31"/>
  <c r="J38" i="31"/>
  <c r="AL180" i="31"/>
  <c r="AE71" i="31"/>
  <c r="AE173" i="31"/>
  <c r="AJ161" i="31"/>
  <c r="Y136" i="31"/>
  <c r="U200" i="31" s="1"/>
  <c r="AA127" i="31"/>
  <c r="W197" i="31" s="1"/>
  <c r="W195" i="31" s="1"/>
  <c r="S100" i="31"/>
  <c r="D45" i="31"/>
  <c r="AI152" i="31"/>
  <c r="U24" i="31"/>
  <c r="Z62" i="31"/>
  <c r="AQ11" i="31"/>
  <c r="U166" i="31"/>
  <c r="AJ88" i="31"/>
  <c r="E57" i="31"/>
  <c r="N64" i="31"/>
  <c r="AG45" i="31"/>
  <c r="AC163" i="31"/>
  <c r="AC209" i="31" s="1"/>
  <c r="AK138" i="31"/>
  <c r="Y118" i="31"/>
  <c r="G17" i="31"/>
  <c r="AG27" i="31"/>
  <c r="N49" i="31"/>
  <c r="C45" i="31"/>
  <c r="AH18" i="31"/>
  <c r="AL88" i="31"/>
  <c r="AE82" i="31"/>
  <c r="AE199" i="31" s="1"/>
  <c r="AE33" i="31"/>
  <c r="AK171" i="31"/>
  <c r="AI171" i="31" s="1"/>
  <c r="AK160" i="31"/>
  <c r="AJ89" i="31"/>
  <c r="Y70" i="31"/>
  <c r="Y64" i="31" s="1"/>
  <c r="AG118" i="31"/>
  <c r="AG11" i="31" s="1"/>
  <c r="C190" i="31" s="1"/>
  <c r="AC145" i="31"/>
  <c r="AC203" i="31" s="1"/>
  <c r="D195" i="31"/>
  <c r="W136" i="31"/>
  <c r="S200" i="31" s="1"/>
  <c r="S198" i="31" s="1"/>
  <c r="AK140" i="31"/>
  <c r="AJ167" i="31"/>
  <c r="I48" i="31"/>
  <c r="AI169" i="31"/>
  <c r="AL86" i="31"/>
  <c r="W31" i="31"/>
  <c r="R157" i="31"/>
  <c r="R154" i="31" s="1"/>
  <c r="N206" i="31" s="1"/>
  <c r="N204" i="31" s="1"/>
  <c r="N48" i="31"/>
  <c r="I75" i="31"/>
  <c r="M75" i="31" s="1"/>
  <c r="E20" i="31"/>
  <c r="W64" i="31"/>
  <c r="Z154" i="31"/>
  <c r="V206" i="31" s="1"/>
  <c r="V204" i="31" s="1"/>
  <c r="AK52" i="31"/>
  <c r="AE154" i="31"/>
  <c r="AA206" i="31" s="1"/>
  <c r="AA204" i="31" s="1"/>
  <c r="J29" i="31"/>
  <c r="Q110" i="31"/>
  <c r="U110" i="31" s="1"/>
  <c r="AJ110" i="31" s="1"/>
  <c r="N112" i="31"/>
  <c r="R112" i="31" s="1"/>
  <c r="V112" i="31" s="1"/>
  <c r="J58" i="31"/>
  <c r="AL176" i="31"/>
  <c r="O67" i="31"/>
  <c r="O173" i="31"/>
  <c r="AL105" i="31"/>
  <c r="AA100" i="31"/>
  <c r="AA50" i="31"/>
  <c r="Q166" i="31"/>
  <c r="AJ166" i="31" s="1"/>
  <c r="AH10" i="31"/>
  <c r="D189" i="31" s="1"/>
  <c r="G189" i="31" s="1"/>
  <c r="AC106" i="31"/>
  <c r="AJ106" i="31" s="1"/>
  <c r="Y51" i="31"/>
  <c r="U173" i="31"/>
  <c r="AJ178" i="31"/>
  <c r="J75" i="31"/>
  <c r="F20" i="31"/>
  <c r="M58" i="31"/>
  <c r="W82" i="31"/>
  <c r="AS6" i="31"/>
  <c r="AC118" i="31"/>
  <c r="AS8" i="31"/>
  <c r="U69" i="31"/>
  <c r="M173" i="31"/>
  <c r="AJ176" i="31"/>
  <c r="AL159" i="31"/>
  <c r="AA154" i="31"/>
  <c r="W206" i="31" s="1"/>
  <c r="W204" i="31" s="1"/>
  <c r="R113" i="31"/>
  <c r="V113" i="31" s="1"/>
  <c r="Z113" i="31" s="1"/>
  <c r="AD113" i="31" s="1"/>
  <c r="AD59" i="31" s="1"/>
  <c r="N59" i="31"/>
  <c r="M102" i="31"/>
  <c r="I47" i="31"/>
  <c r="AL75" i="31"/>
  <c r="W73" i="31"/>
  <c r="W18" i="31" s="1"/>
  <c r="W20" i="31"/>
  <c r="AL20" i="31" s="1"/>
  <c r="AC98" i="31"/>
  <c r="Y43" i="31"/>
  <c r="AE73" i="31"/>
  <c r="AL77" i="31"/>
  <c r="Q38" i="31"/>
  <c r="AL177" i="31"/>
  <c r="S68" i="31"/>
  <c r="S173" i="31"/>
  <c r="J137" i="31"/>
  <c r="F28" i="31"/>
  <c r="AL102" i="31"/>
  <c r="O100" i="31"/>
  <c r="O47" i="31"/>
  <c r="AL47" i="31" s="1"/>
  <c r="M111" i="31"/>
  <c r="I57" i="31"/>
  <c r="Q113" i="31"/>
  <c r="U113" i="31" s="1"/>
  <c r="Y113" i="31" s="1"/>
  <c r="AC113" i="31" s="1"/>
  <c r="AC59" i="31" s="1"/>
  <c r="M59" i="31"/>
  <c r="AK70" i="31"/>
  <c r="AK150" i="31"/>
  <c r="AJ147" i="31"/>
  <c r="AI147" i="31" s="1"/>
  <c r="AK89" i="31"/>
  <c r="AI66" i="31"/>
  <c r="Q85" i="31"/>
  <c r="Q82" i="31" s="1"/>
  <c r="M199" i="31" s="1"/>
  <c r="AL167" i="31"/>
  <c r="AA163" i="31"/>
  <c r="W209" i="31" s="1"/>
  <c r="W207" i="31" s="1"/>
  <c r="AL76" i="31"/>
  <c r="AA73" i="31"/>
  <c r="AA21" i="31"/>
  <c r="AL21" i="31" s="1"/>
  <c r="N154" i="31"/>
  <c r="J206" i="31" s="1"/>
  <c r="J204" i="31" s="1"/>
  <c r="U51" i="31"/>
  <c r="C36" i="31"/>
  <c r="W173" i="31"/>
  <c r="AD116" i="31"/>
  <c r="AD62" i="31" s="1"/>
  <c r="K17" i="31"/>
  <c r="AJ99" i="31"/>
  <c r="AI99" i="31" s="1"/>
  <c r="AC44" i="31"/>
  <c r="AJ44" i="31" s="1"/>
  <c r="AJ122" i="31"/>
  <c r="AI122" i="31" s="1"/>
  <c r="Q68" i="31"/>
  <c r="AL178" i="31"/>
  <c r="AG163" i="31"/>
  <c r="C209" i="31" s="1"/>
  <c r="AK161" i="31"/>
  <c r="AI144" i="31"/>
  <c r="F136" i="31"/>
  <c r="Z136" i="31"/>
  <c r="V200" i="31" s="1"/>
  <c r="V198" i="31" s="1"/>
  <c r="AL104" i="31"/>
  <c r="Q118" i="31"/>
  <c r="AG100" i="31"/>
  <c r="C205" i="31" s="1"/>
  <c r="AG127" i="31"/>
  <c r="C197" i="31" s="1"/>
  <c r="AG64" i="31"/>
  <c r="R77" i="31"/>
  <c r="V77" i="31" s="1"/>
  <c r="AJ179" i="31"/>
  <c r="AI179" i="31" s="1"/>
  <c r="Y173" i="31"/>
  <c r="Q149" i="31"/>
  <c r="U149" i="31" s="1"/>
  <c r="U145" i="31" s="1"/>
  <c r="Q203" i="31" s="1"/>
  <c r="R48" i="31"/>
  <c r="Q50" i="31"/>
  <c r="AJ86" i="31"/>
  <c r="M76" i="31"/>
  <c r="I21" i="31"/>
  <c r="R173" i="31"/>
  <c r="R68" i="31"/>
  <c r="AC154" i="31"/>
  <c r="AC52" i="31"/>
  <c r="I137" i="31"/>
  <c r="I136" i="31" s="1"/>
  <c r="E28" i="31"/>
  <c r="AJ104" i="31"/>
  <c r="M49" i="31"/>
  <c r="AL168" i="31"/>
  <c r="AE163" i="31"/>
  <c r="AI162" i="31"/>
  <c r="J111" i="31"/>
  <c r="N111" i="31" s="1"/>
  <c r="R111" i="31" s="1"/>
  <c r="V111" i="31" s="1"/>
  <c r="V57" i="31" s="1"/>
  <c r="F57" i="31"/>
  <c r="AS7" i="31"/>
  <c r="AE100" i="31"/>
  <c r="AE205" i="31" s="1"/>
  <c r="AL106" i="31"/>
  <c r="AE51" i="31"/>
  <c r="N102" i="31"/>
  <c r="J47" i="31"/>
  <c r="E136" i="31"/>
  <c r="E29" i="31"/>
  <c r="N130" i="31"/>
  <c r="N21" i="31" s="1"/>
  <c r="Z130" i="31"/>
  <c r="AD98" i="31"/>
  <c r="AD43" i="31" s="1"/>
  <c r="Z43" i="31"/>
  <c r="AL157" i="31"/>
  <c r="S154" i="31"/>
  <c r="O206" i="31" s="1"/>
  <c r="O204" i="31" s="1"/>
  <c r="AG173" i="31"/>
  <c r="AG14" i="31" s="1"/>
  <c r="C193" i="31" s="1"/>
  <c r="AI164" i="31"/>
  <c r="J193" i="31"/>
  <c r="R193" i="31"/>
  <c r="R187" i="31" s="1"/>
  <c r="O154" i="31"/>
  <c r="K206" i="31" s="1"/>
  <c r="K204" i="31" s="1"/>
  <c r="AL155" i="31"/>
  <c r="O46" i="31"/>
  <c r="I165" i="31"/>
  <c r="Q165" i="31"/>
  <c r="E163" i="31"/>
  <c r="E56" i="31"/>
  <c r="AL95" i="31"/>
  <c r="AA91" i="31"/>
  <c r="AA40" i="31"/>
  <c r="Y52" i="31"/>
  <c r="AJ107" i="31"/>
  <c r="AI107" i="31" s="1"/>
  <c r="F127" i="31"/>
  <c r="R128" i="31"/>
  <c r="J128" i="31"/>
  <c r="AG154" i="31"/>
  <c r="C206" i="31" s="1"/>
  <c r="S193" i="31"/>
  <c r="J154" i="31"/>
  <c r="AL138" i="31"/>
  <c r="O136" i="31"/>
  <c r="M155" i="31"/>
  <c r="I154" i="31"/>
  <c r="Z151" i="31"/>
  <c r="AD151" i="31" s="1"/>
  <c r="AD145" i="31" s="1"/>
  <c r="V42" i="31"/>
  <c r="R148" i="31"/>
  <c r="R145" i="31" s="1"/>
  <c r="N203" i="31" s="1"/>
  <c r="N201" i="31" s="1"/>
  <c r="AK143" i="31"/>
  <c r="AI143" i="31" s="1"/>
  <c r="Z34" i="31"/>
  <c r="AK135" i="31"/>
  <c r="AI135" i="31" s="1"/>
  <c r="AD26" i="31"/>
  <c r="AK26" i="31" s="1"/>
  <c r="V86" i="31"/>
  <c r="AK86" i="31" s="1"/>
  <c r="R31" i="31"/>
  <c r="AL165" i="31"/>
  <c r="S163" i="31"/>
  <c r="O209" i="31" s="1"/>
  <c r="O207" i="31" s="1"/>
  <c r="S56" i="31"/>
  <c r="J145" i="31"/>
  <c r="U96" i="31"/>
  <c r="Q41" i="31"/>
  <c r="D206" i="31"/>
  <c r="D204" i="31" s="1"/>
  <c r="AH13" i="31"/>
  <c r="Z105" i="31"/>
  <c r="AK105" i="31" s="1"/>
  <c r="V50" i="31"/>
  <c r="E38" i="31"/>
  <c r="I93" i="31"/>
  <c r="AD80" i="31"/>
  <c r="Z25" i="31"/>
  <c r="S197" i="31"/>
  <c r="S195" i="31" s="1"/>
  <c r="C126" i="31"/>
  <c r="AL113" i="31"/>
  <c r="AE109" i="31"/>
  <c r="AE208" i="31" s="1"/>
  <c r="AE59" i="31"/>
  <c r="AK108" i="31"/>
  <c r="AI108" i="31" s="1"/>
  <c r="AD53" i="31"/>
  <c r="AK53" i="31" s="1"/>
  <c r="Z40" i="31"/>
  <c r="AC80" i="31"/>
  <c r="Y25" i="31"/>
  <c r="V39" i="31"/>
  <c r="AG25" i="31"/>
  <c r="C18" i="31"/>
  <c r="U78" i="31"/>
  <c r="Q23" i="31"/>
  <c r="C72" i="31"/>
  <c r="AG82" i="31"/>
  <c r="C199" i="31" s="1"/>
  <c r="AD188" i="31"/>
  <c r="Q139" i="31"/>
  <c r="M30" i="31"/>
  <c r="C64" i="31"/>
  <c r="AJ90" i="31"/>
  <c r="AC35" i="31"/>
  <c r="AJ35" i="31" s="1"/>
  <c r="AC79" i="31"/>
  <c r="AC24" i="31" s="1"/>
  <c r="Y24" i="31"/>
  <c r="Q157" i="31"/>
  <c r="M48" i="31"/>
  <c r="Z170" i="31"/>
  <c r="V61" i="31"/>
  <c r="AD154" i="31"/>
  <c r="W154" i="31"/>
  <c r="S206" i="31" s="1"/>
  <c r="S204" i="31" s="1"/>
  <c r="AL158" i="31"/>
  <c r="W49" i="31"/>
  <c r="AK159" i="31"/>
  <c r="AK172" i="31"/>
  <c r="AD63" i="31"/>
  <c r="AK63" i="31" s="1"/>
  <c r="M138" i="31"/>
  <c r="I29" i="31"/>
  <c r="U33" i="31"/>
  <c r="Z133" i="31"/>
  <c r="AD133" i="31" s="1"/>
  <c r="V24" i="31"/>
  <c r="AD106" i="31"/>
  <c r="Z51" i="31"/>
  <c r="J165" i="31"/>
  <c r="R165" i="31"/>
  <c r="AJ133" i="31"/>
  <c r="AE91" i="31"/>
  <c r="AL96" i="31"/>
  <c r="AE41" i="31"/>
  <c r="Y145" i="31"/>
  <c r="U203" i="31" s="1"/>
  <c r="AD136" i="31"/>
  <c r="AK141" i="31"/>
  <c r="J110" i="31"/>
  <c r="F109" i="31"/>
  <c r="F56" i="31"/>
  <c r="AL93" i="31"/>
  <c r="S91" i="31"/>
  <c r="S38" i="31"/>
  <c r="AL84" i="31"/>
  <c r="O29" i="31"/>
  <c r="O82" i="31"/>
  <c r="AD79" i="31"/>
  <c r="Q128" i="31"/>
  <c r="I128" i="31"/>
  <c r="E127" i="31"/>
  <c r="AA109" i="31"/>
  <c r="AL112" i="31"/>
  <c r="AA58" i="31"/>
  <c r="N37" i="31"/>
  <c r="AK92" i="31"/>
  <c r="U132" i="31"/>
  <c r="Y132" i="31" s="1"/>
  <c r="AC132" i="31" s="1"/>
  <c r="U190" i="31"/>
  <c r="U187" i="31" s="1"/>
  <c r="J101" i="31"/>
  <c r="F100" i="31"/>
  <c r="F46" i="31"/>
  <c r="F45" i="31" s="1"/>
  <c r="AG73" i="31"/>
  <c r="J74" i="31"/>
  <c r="F73" i="31"/>
  <c r="F19" i="31"/>
  <c r="AG109" i="31"/>
  <c r="C208" i="31" s="1"/>
  <c r="C207" i="31" s="1"/>
  <c r="Q32" i="31"/>
  <c r="Z87" i="31"/>
  <c r="AK87" i="31" s="1"/>
  <c r="V32" i="31"/>
  <c r="AJ151" i="31"/>
  <c r="S136" i="31"/>
  <c r="O200" i="31" s="1"/>
  <c r="O198" i="31" s="1"/>
  <c r="AL139" i="31"/>
  <c r="S30" i="31"/>
  <c r="AC134" i="31"/>
  <c r="AJ134" i="31" s="1"/>
  <c r="S48" i="31"/>
  <c r="AK90" i="31"/>
  <c r="AD35" i="31"/>
  <c r="AK35" i="31" s="1"/>
  <c r="AI28" i="31"/>
  <c r="W193" i="31"/>
  <c r="W187" i="31" s="1"/>
  <c r="Y159" i="31"/>
  <c r="Y154" i="31" s="1"/>
  <c r="U206" i="31" s="1"/>
  <c r="AC142" i="31"/>
  <c r="Y33" i="31"/>
  <c r="AK153" i="31"/>
  <c r="AI153" i="31" s="1"/>
  <c r="AD44" i="31"/>
  <c r="AK44" i="31" s="1"/>
  <c r="AL150" i="31"/>
  <c r="AE145" i="31"/>
  <c r="U140" i="31"/>
  <c r="Q31" i="31"/>
  <c r="V104" i="31"/>
  <c r="AK104" i="31" s="1"/>
  <c r="R49" i="31"/>
  <c r="U112" i="31"/>
  <c r="Q58" i="31"/>
  <c r="R100" i="31"/>
  <c r="Q95" i="31"/>
  <c r="M40" i="31"/>
  <c r="U77" i="31"/>
  <c r="V136" i="31"/>
  <c r="R200" i="31" s="1"/>
  <c r="R198" i="31" s="1"/>
  <c r="D190" i="31"/>
  <c r="G190" i="31" s="1"/>
  <c r="AH8" i="31"/>
  <c r="D187" i="31" s="1"/>
  <c r="G187" i="31" s="1"/>
  <c r="O91" i="31"/>
  <c r="AL92" i="31"/>
  <c r="O37" i="31"/>
  <c r="F82" i="31"/>
  <c r="F29" i="31"/>
  <c r="AJ148" i="31"/>
  <c r="AL128" i="31"/>
  <c r="S127" i="31"/>
  <c r="M190" i="31"/>
  <c r="M187" i="31" s="1"/>
  <c r="AL111" i="31"/>
  <c r="W57" i="31"/>
  <c r="AL57" i="31" s="1"/>
  <c r="AC97" i="31"/>
  <c r="AJ97" i="31" s="1"/>
  <c r="Y42" i="31"/>
  <c r="E91" i="31"/>
  <c r="I92" i="31"/>
  <c r="E37" i="31"/>
  <c r="AA200" i="31"/>
  <c r="AA198" i="31" s="1"/>
  <c r="AE200" i="31"/>
  <c r="M94" i="31"/>
  <c r="I39" i="31"/>
  <c r="W91" i="31"/>
  <c r="AL94" i="31"/>
  <c r="W39" i="31"/>
  <c r="I82" i="31"/>
  <c r="E73" i="31"/>
  <c r="I74" i="31"/>
  <c r="E19" i="31"/>
  <c r="M118" i="31"/>
  <c r="M67" i="31"/>
  <c r="AJ121" i="31"/>
  <c r="V114" i="31"/>
  <c r="R60" i="31"/>
  <c r="AD97" i="31"/>
  <c r="AA82" i="31"/>
  <c r="AL87" i="31"/>
  <c r="AA32" i="31"/>
  <c r="R32" i="31"/>
  <c r="R139" i="31"/>
  <c r="AK139" i="31" s="1"/>
  <c r="N30" i="31"/>
  <c r="Y190" i="31"/>
  <c r="Y187" i="31" s="1"/>
  <c r="AH72" i="31"/>
  <c r="R76" i="31"/>
  <c r="R82" i="31"/>
  <c r="U158" i="31"/>
  <c r="AJ158" i="31" s="1"/>
  <c r="Q49" i="31"/>
  <c r="R167" i="31"/>
  <c r="V167" i="31" s="1"/>
  <c r="AJ172" i="31"/>
  <c r="AC63" i="31"/>
  <c r="AJ63" i="31" s="1"/>
  <c r="AK142" i="31"/>
  <c r="V33" i="31"/>
  <c r="AG145" i="31"/>
  <c r="C203" i="31" s="1"/>
  <c r="AL131" i="31"/>
  <c r="AE127" i="31"/>
  <c r="AE22" i="31"/>
  <c r="AL22" i="31" s="1"/>
  <c r="AD88" i="31"/>
  <c r="Z33" i="31"/>
  <c r="V154" i="31"/>
  <c r="R206" i="31" s="1"/>
  <c r="R204" i="31" s="1"/>
  <c r="F91" i="31"/>
  <c r="F37" i="31"/>
  <c r="J92" i="31"/>
  <c r="AJ81" i="31"/>
  <c r="AI81" i="31" s="1"/>
  <c r="AC26" i="31"/>
  <c r="AJ26" i="31" s="1"/>
  <c r="AH126" i="31"/>
  <c r="W109" i="31"/>
  <c r="AL110" i="31"/>
  <c r="W56" i="31"/>
  <c r="Y105" i="31"/>
  <c r="AJ105" i="31" s="1"/>
  <c r="U100" i="31"/>
  <c r="Q205" i="31" s="1"/>
  <c r="U50" i="31"/>
  <c r="AD41" i="31"/>
  <c r="AJ92" i="31"/>
  <c r="M37" i="31"/>
  <c r="V132" i="31"/>
  <c r="Z132" i="31" s="1"/>
  <c r="AD132" i="31" s="1"/>
  <c r="N94" i="31"/>
  <c r="N91" i="31" s="1"/>
  <c r="J39" i="31"/>
  <c r="U39" i="31"/>
  <c r="Z193" i="31"/>
  <c r="Z187" i="31" s="1"/>
  <c r="I101" i="31"/>
  <c r="E100" i="31"/>
  <c r="E46" i="31"/>
  <c r="E45" i="31" s="1"/>
  <c r="V78" i="31"/>
  <c r="R23" i="31"/>
  <c r="AL74" i="31"/>
  <c r="S73" i="31"/>
  <c r="S19" i="31"/>
  <c r="AL19" i="31" s="1"/>
  <c r="V145" i="31"/>
  <c r="R203" i="31" s="1"/>
  <c r="R201" i="31" s="1"/>
  <c r="U114" i="31"/>
  <c r="Q60" i="31"/>
  <c r="Y87" i="31"/>
  <c r="U32" i="31"/>
  <c r="AI65" i="31"/>
  <c r="AD134" i="31"/>
  <c r="AK134" i="31" s="1"/>
  <c r="E118" i="31"/>
  <c r="E65" i="31"/>
  <c r="E64" i="31" s="1"/>
  <c r="N82" i="31"/>
  <c r="AK84" i="31"/>
  <c r="N29" i="31"/>
  <c r="AE188" i="31"/>
  <c r="U56" i="31" l="1"/>
  <c r="I28" i="31"/>
  <c r="AI26" i="31"/>
  <c r="AJ70" i="31"/>
  <c r="AI70" i="31" s="1"/>
  <c r="AK131" i="31"/>
  <c r="AK116" i="31"/>
  <c r="Y199" i="31"/>
  <c r="E36" i="31"/>
  <c r="Q22" i="31"/>
  <c r="D210" i="31"/>
  <c r="AI89" i="31"/>
  <c r="AH17" i="31"/>
  <c r="AI178" i="31"/>
  <c r="N58" i="31"/>
  <c r="I20" i="31"/>
  <c r="AI44" i="31"/>
  <c r="AK34" i="31"/>
  <c r="AI34" i="31" s="1"/>
  <c r="AK62" i="31"/>
  <c r="AI160" i="31"/>
  <c r="AI116" i="31"/>
  <c r="AC62" i="31"/>
  <c r="AJ62" i="31" s="1"/>
  <c r="C201" i="31"/>
  <c r="R40" i="31"/>
  <c r="AC64" i="31"/>
  <c r="AJ71" i="31"/>
  <c r="AI158" i="31"/>
  <c r="AJ173" i="31"/>
  <c r="V41" i="31"/>
  <c r="M21" i="31"/>
  <c r="AA18" i="31"/>
  <c r="AJ61" i="31"/>
  <c r="AE206" i="31"/>
  <c r="AE204" i="31" s="1"/>
  <c r="C198" i="31"/>
  <c r="AI177" i="31"/>
  <c r="D17" i="31"/>
  <c r="AI161" i="31"/>
  <c r="AI180" i="31"/>
  <c r="AK173" i="31"/>
  <c r="AK8" i="31" s="1"/>
  <c r="AJ159" i="31"/>
  <c r="AI159" i="31" s="1"/>
  <c r="V91" i="31"/>
  <c r="AI141" i="31"/>
  <c r="Y209" i="31"/>
  <c r="AJ131" i="31"/>
  <c r="AI131" i="31" s="1"/>
  <c r="J57" i="31"/>
  <c r="AH9" i="31"/>
  <c r="D188" i="31" s="1"/>
  <c r="G188" i="31" s="1"/>
  <c r="Q59" i="31"/>
  <c r="F36" i="31"/>
  <c r="I27" i="31"/>
  <c r="AE198" i="31"/>
  <c r="AG8" i="31"/>
  <c r="C187" i="31" s="1"/>
  <c r="AA126" i="31"/>
  <c r="AJ85" i="31"/>
  <c r="AI85" i="31" s="1"/>
  <c r="AJ113" i="31"/>
  <c r="AK71" i="31"/>
  <c r="Z42" i="31"/>
  <c r="AI150" i="31"/>
  <c r="AJ24" i="31"/>
  <c r="E54" i="31"/>
  <c r="AK98" i="31"/>
  <c r="AK111" i="31"/>
  <c r="V163" i="31"/>
  <c r="R209" i="31" s="1"/>
  <c r="R207" i="31" s="1"/>
  <c r="Y203" i="31"/>
  <c r="AD42" i="31"/>
  <c r="AD36" i="31" s="1"/>
  <c r="Z145" i="31"/>
  <c r="V203" i="31" s="1"/>
  <c r="V201" i="31" s="1"/>
  <c r="AK133" i="31"/>
  <c r="AI133" i="31" s="1"/>
  <c r="AC25" i="31"/>
  <c r="AJ25" i="31" s="1"/>
  <c r="AK113" i="31"/>
  <c r="AK48" i="31"/>
  <c r="AE64" i="31"/>
  <c r="AL71" i="31"/>
  <c r="R22" i="31"/>
  <c r="C17" i="31"/>
  <c r="C204" i="31"/>
  <c r="AL33" i="31"/>
  <c r="AE27" i="31"/>
  <c r="AC127" i="31"/>
  <c r="Y197" i="31" s="1"/>
  <c r="AL163" i="31"/>
  <c r="R59" i="31"/>
  <c r="AL100" i="31"/>
  <c r="AI176" i="31"/>
  <c r="W72" i="31"/>
  <c r="AL18" i="31"/>
  <c r="AI86" i="31"/>
  <c r="F126" i="31"/>
  <c r="AJ68" i="31"/>
  <c r="Q64" i="31"/>
  <c r="Q111" i="31"/>
  <c r="M57" i="31"/>
  <c r="AD91" i="31"/>
  <c r="AD202" i="31" s="1"/>
  <c r="W54" i="31"/>
  <c r="W210" i="31"/>
  <c r="AI172" i="31"/>
  <c r="AK167" i="31"/>
  <c r="AI167" i="31" s="1"/>
  <c r="Z24" i="31"/>
  <c r="F54" i="31"/>
  <c r="AK151" i="31"/>
  <c r="AI151" i="31" s="1"/>
  <c r="Y206" i="31"/>
  <c r="AC206" i="31"/>
  <c r="Q76" i="31"/>
  <c r="U76" i="31" s="1"/>
  <c r="Y76" i="31" s="1"/>
  <c r="Y21" i="31" s="1"/>
  <c r="AJ149" i="31"/>
  <c r="AI149" i="31" s="1"/>
  <c r="J28" i="31"/>
  <c r="J27" i="31" s="1"/>
  <c r="J136" i="31"/>
  <c r="AS11" i="31"/>
  <c r="N75" i="31"/>
  <c r="J20" i="31"/>
  <c r="AC51" i="31"/>
  <c r="AC45" i="31" s="1"/>
  <c r="AC100" i="31"/>
  <c r="AA45" i="31"/>
  <c r="AL50" i="31"/>
  <c r="O64" i="31"/>
  <c r="AL67" i="31"/>
  <c r="M109" i="31"/>
  <c r="I208" i="31" s="1"/>
  <c r="AK157" i="31"/>
  <c r="AK154" i="31" s="1"/>
  <c r="AL145" i="31"/>
  <c r="AL51" i="31"/>
  <c r="AE45" i="31"/>
  <c r="AL68" i="31"/>
  <c r="S64" i="31"/>
  <c r="M47" i="31"/>
  <c r="AJ47" i="31" s="1"/>
  <c r="AJ102" i="31"/>
  <c r="M100" i="31"/>
  <c r="I205" i="31" s="1"/>
  <c r="AJ80" i="31"/>
  <c r="AL73" i="31"/>
  <c r="AL109" i="31"/>
  <c r="AK136" i="31"/>
  <c r="F27" i="31"/>
  <c r="AJ132" i="31"/>
  <c r="E126" i="31"/>
  <c r="AJ52" i="31"/>
  <c r="AI52" i="31" s="1"/>
  <c r="AK43" i="31"/>
  <c r="R130" i="31"/>
  <c r="V130" i="31" s="1"/>
  <c r="V127" i="31" s="1"/>
  <c r="AK102" i="31"/>
  <c r="N100" i="31"/>
  <c r="N47" i="31"/>
  <c r="AA209" i="31"/>
  <c r="AA207" i="31" s="1"/>
  <c r="AE209" i="31"/>
  <c r="AE207" i="31" s="1"/>
  <c r="E27" i="31"/>
  <c r="AK68" i="31"/>
  <c r="R64" i="31"/>
  <c r="AC43" i="31"/>
  <c r="AJ43" i="31" s="1"/>
  <c r="AJ98" i="31"/>
  <c r="U64" i="31"/>
  <c r="AJ69" i="31"/>
  <c r="AI69" i="31" s="1"/>
  <c r="AL173" i="31"/>
  <c r="AL8" i="31" s="1"/>
  <c r="Q75" i="31"/>
  <c r="U75" i="31" s="1"/>
  <c r="U20" i="31" s="1"/>
  <c r="AL31" i="31"/>
  <c r="W27" i="31"/>
  <c r="Q145" i="31"/>
  <c r="M203" i="31" s="1"/>
  <c r="AI104" i="31"/>
  <c r="AK29" i="31"/>
  <c r="N27" i="31"/>
  <c r="AD127" i="31"/>
  <c r="AL127" i="31"/>
  <c r="Y112" i="31"/>
  <c r="AJ112" i="31" s="1"/>
  <c r="U58" i="31"/>
  <c r="U136" i="31"/>
  <c r="Q200" i="31" s="1"/>
  <c r="Q198" i="31" s="1"/>
  <c r="U31" i="31"/>
  <c r="U27" i="31" s="1"/>
  <c r="F72" i="31"/>
  <c r="F18" i="31"/>
  <c r="AD24" i="31"/>
  <c r="AK79" i="31"/>
  <c r="AD200" i="31"/>
  <c r="Z200" i="31"/>
  <c r="Z198" i="31" s="1"/>
  <c r="J163" i="31"/>
  <c r="N165" i="31"/>
  <c r="U130" i="31"/>
  <c r="AJ130" i="31" s="1"/>
  <c r="Y168" i="31"/>
  <c r="AJ168" i="31" s="1"/>
  <c r="U59" i="31"/>
  <c r="U163" i="31"/>
  <c r="Q209" i="31" s="1"/>
  <c r="Q136" i="31"/>
  <c r="M200" i="31" s="1"/>
  <c r="M198" i="31" s="1"/>
  <c r="Q30" i="31"/>
  <c r="Q27" i="31" s="1"/>
  <c r="Y82" i="31"/>
  <c r="U199" i="31" s="1"/>
  <c r="U198" i="31" s="1"/>
  <c r="Y32" i="31"/>
  <c r="Y27" i="31" s="1"/>
  <c r="Z78" i="31"/>
  <c r="V23" i="31"/>
  <c r="R94" i="31"/>
  <c r="N39" i="31"/>
  <c r="N36" i="31" s="1"/>
  <c r="AK132" i="31"/>
  <c r="AI92" i="31"/>
  <c r="AD82" i="31"/>
  <c r="AD199" i="31" s="1"/>
  <c r="AD33" i="31"/>
  <c r="AD27" i="31" s="1"/>
  <c r="AI53" i="31"/>
  <c r="AI121" i="31"/>
  <c r="AI118" i="31" s="1"/>
  <c r="AJ118" i="31"/>
  <c r="AJ140" i="31"/>
  <c r="AI140" i="31" s="1"/>
  <c r="Q129" i="31"/>
  <c r="M20" i="31"/>
  <c r="AA203" i="31"/>
  <c r="AA201" i="31" s="1"/>
  <c r="AE203" i="31"/>
  <c r="AI134" i="31"/>
  <c r="Z82" i="31"/>
  <c r="Z32" i="31"/>
  <c r="Z27" i="31" s="1"/>
  <c r="J73" i="31"/>
  <c r="N74" i="31"/>
  <c r="J19" i="31"/>
  <c r="J100" i="31"/>
  <c r="J46" i="31"/>
  <c r="J45" i="31" s="1"/>
  <c r="AA54" i="31"/>
  <c r="AL58" i="31"/>
  <c r="M128" i="31"/>
  <c r="I127" i="31"/>
  <c r="O72" i="31"/>
  <c r="W45" i="31"/>
  <c r="AL49" i="31"/>
  <c r="Q154" i="31"/>
  <c r="M206" i="31" s="1"/>
  <c r="M204" i="31" s="1"/>
  <c r="Q48" i="31"/>
  <c r="Q45" i="31" s="1"/>
  <c r="AI35" i="31"/>
  <c r="AJ139" i="31"/>
  <c r="AI139" i="31" s="1"/>
  <c r="V58" i="31"/>
  <c r="Z112" i="31"/>
  <c r="M93" i="31"/>
  <c r="I38" i="31"/>
  <c r="Z100" i="31"/>
  <c r="Z50" i="31"/>
  <c r="Z45" i="31" s="1"/>
  <c r="AJ155" i="31"/>
  <c r="M46" i="31"/>
  <c r="M154" i="31"/>
  <c r="I206" i="31" s="1"/>
  <c r="K200" i="31"/>
  <c r="K198" i="31" s="1"/>
  <c r="K210" i="31" s="1"/>
  <c r="O126" i="31"/>
  <c r="O45" i="31"/>
  <c r="AL46" i="31"/>
  <c r="Z127" i="31"/>
  <c r="AG126" i="31"/>
  <c r="AK97" i="31"/>
  <c r="AI97" i="31" s="1"/>
  <c r="U60" i="31"/>
  <c r="Y114" i="31"/>
  <c r="S72" i="31"/>
  <c r="S18" i="31"/>
  <c r="I100" i="31"/>
  <c r="I46" i="31"/>
  <c r="I45" i="31" s="1"/>
  <c r="Y100" i="31"/>
  <c r="U205" i="31" s="1"/>
  <c r="U204" i="31" s="1"/>
  <c r="Y50" i="31"/>
  <c r="Y45" i="31" s="1"/>
  <c r="J91" i="31"/>
  <c r="J37" i="31"/>
  <c r="J36" i="31" s="1"/>
  <c r="W191" i="31"/>
  <c r="W185" i="31" s="1"/>
  <c r="W192" i="31"/>
  <c r="W186" i="31" s="1"/>
  <c r="AI63" i="31"/>
  <c r="U154" i="31"/>
  <c r="Q206" i="31" s="1"/>
  <c r="Q204" i="31" s="1"/>
  <c r="U49" i="31"/>
  <c r="U45" i="31" s="1"/>
  <c r="V76" i="31"/>
  <c r="AA72" i="31"/>
  <c r="Z114" i="31"/>
  <c r="V60" i="31"/>
  <c r="AJ67" i="31"/>
  <c r="M64" i="31"/>
  <c r="M74" i="31"/>
  <c r="I73" i="31"/>
  <c r="I19" i="31"/>
  <c r="AC42" i="31"/>
  <c r="AC91" i="31"/>
  <c r="Y77" i="31"/>
  <c r="U22" i="31"/>
  <c r="R45" i="31"/>
  <c r="AC136" i="31"/>
  <c r="AC33" i="31"/>
  <c r="AC27" i="31" s="1"/>
  <c r="AJ79" i="31"/>
  <c r="Z41" i="31"/>
  <c r="AK96" i="31"/>
  <c r="AJ87" i="31"/>
  <c r="C196" i="31"/>
  <c r="C195" i="31" s="1"/>
  <c r="AG72" i="31"/>
  <c r="AG18" i="31"/>
  <c r="AG17" i="31" s="1"/>
  <c r="AG10" i="31"/>
  <c r="V40" i="31"/>
  <c r="AK95" i="31"/>
  <c r="AK37" i="31"/>
  <c r="AL29" i="31"/>
  <c r="O27" i="31"/>
  <c r="J109" i="31"/>
  <c r="N110" i="31"/>
  <c r="J56" i="31"/>
  <c r="AE36" i="31"/>
  <c r="AL41" i="31"/>
  <c r="AD100" i="31"/>
  <c r="AD205" i="31" s="1"/>
  <c r="AD51" i="31"/>
  <c r="AD45" i="31" s="1"/>
  <c r="AK106" i="31"/>
  <c r="AI106" i="31" s="1"/>
  <c r="AJ142" i="31"/>
  <c r="AI142" i="31" s="1"/>
  <c r="AD170" i="31"/>
  <c r="Z61" i="31"/>
  <c r="AJ157" i="31"/>
  <c r="AI90" i="31"/>
  <c r="Z77" i="31"/>
  <c r="V22" i="31"/>
  <c r="Z91" i="31"/>
  <c r="AE54" i="31"/>
  <c r="AL59" i="31"/>
  <c r="AL56" i="31"/>
  <c r="S54" i="31"/>
  <c r="V82" i="31"/>
  <c r="V31" i="31"/>
  <c r="V27" i="31" s="1"/>
  <c r="AD203" i="31"/>
  <c r="Z203" i="31"/>
  <c r="Z201" i="31" s="1"/>
  <c r="AL136" i="31"/>
  <c r="Q163" i="31"/>
  <c r="M209" i="31" s="1"/>
  <c r="Q56" i="31"/>
  <c r="AL154" i="31"/>
  <c r="AK88" i="31"/>
  <c r="AI88" i="31" s="1"/>
  <c r="AA197" i="31"/>
  <c r="AA195" i="31" s="1"/>
  <c r="AE18" i="31"/>
  <c r="AE126" i="31"/>
  <c r="I190" i="31"/>
  <c r="E72" i="31"/>
  <c r="E18" i="31"/>
  <c r="W36" i="31"/>
  <c r="AL39" i="31"/>
  <c r="M39" i="31"/>
  <c r="Q94" i="31"/>
  <c r="AJ94" i="31" s="1"/>
  <c r="I91" i="31"/>
  <c r="I37" i="31"/>
  <c r="O197" i="31"/>
  <c r="S126" i="31"/>
  <c r="O36" i="31"/>
  <c r="AL37" i="31"/>
  <c r="V100" i="31"/>
  <c r="V49" i="31"/>
  <c r="V45" i="31" s="1"/>
  <c r="AJ31" i="31"/>
  <c r="S27" i="31"/>
  <c r="AL30" i="31"/>
  <c r="AI84" i="31"/>
  <c r="AL82" i="31"/>
  <c r="AJ138" i="31"/>
  <c r="M136" i="31"/>
  <c r="I200" i="31" s="1"/>
  <c r="I198" i="31" s="1"/>
  <c r="M29" i="31"/>
  <c r="Y78" i="31"/>
  <c r="U23" i="31"/>
  <c r="W126" i="31"/>
  <c r="AD25" i="31"/>
  <c r="AK25" i="31" s="1"/>
  <c r="D192" i="31"/>
  <c r="AH7" i="31"/>
  <c r="D186" i="31" s="1"/>
  <c r="AH12" i="31"/>
  <c r="D191" i="31" s="1"/>
  <c r="N128" i="31"/>
  <c r="J127" i="31"/>
  <c r="M165" i="31"/>
  <c r="I56" i="31"/>
  <c r="I54" i="31" s="1"/>
  <c r="I163" i="31"/>
  <c r="AD193" i="31"/>
  <c r="J187" i="31"/>
  <c r="AD187" i="31" s="1"/>
  <c r="AI105" i="31"/>
  <c r="AG13" i="31"/>
  <c r="AJ37" i="31"/>
  <c r="R166" i="31"/>
  <c r="R57" i="31" s="1"/>
  <c r="N57" i="31"/>
  <c r="R136" i="31"/>
  <c r="N200" i="31" s="1"/>
  <c r="N198" i="31" s="1"/>
  <c r="R30" i="31"/>
  <c r="R27" i="31" s="1"/>
  <c r="AA27" i="31"/>
  <c r="AL32" i="31"/>
  <c r="AL91" i="31"/>
  <c r="U95" i="31"/>
  <c r="AJ95" i="31" s="1"/>
  <c r="AI95" i="31" s="1"/>
  <c r="Q40" i="31"/>
  <c r="S45" i="31"/>
  <c r="AL48" i="31"/>
  <c r="S36" i="31"/>
  <c r="AL38" i="31"/>
  <c r="AE202" i="31"/>
  <c r="AE72" i="31"/>
  <c r="Z206" i="31"/>
  <c r="Z204" i="31" s="1"/>
  <c r="AD206" i="31"/>
  <c r="R58" i="31"/>
  <c r="S210" i="31"/>
  <c r="AK80" i="31"/>
  <c r="Y96" i="31"/>
  <c r="AJ96" i="31" s="1"/>
  <c r="U41" i="31"/>
  <c r="AK148" i="31"/>
  <c r="Z168" i="31"/>
  <c r="V59" i="31"/>
  <c r="AE193" i="31"/>
  <c r="S187" i="31"/>
  <c r="AE187" i="31" s="1"/>
  <c r="AL40" i="31"/>
  <c r="AA36" i="31"/>
  <c r="Y127" i="31"/>
  <c r="AI113" i="31" l="1"/>
  <c r="AJ32" i="31"/>
  <c r="AJ8" i="31"/>
  <c r="AK24" i="31"/>
  <c r="AI24" i="31" s="1"/>
  <c r="AI62" i="31"/>
  <c r="AK42" i="31"/>
  <c r="AG203" i="31"/>
  <c r="J126" i="31"/>
  <c r="Z36" i="31"/>
  <c r="AI157" i="31"/>
  <c r="V36" i="31"/>
  <c r="I204" i="31"/>
  <c r="AI98" i="31"/>
  <c r="AL54" i="31"/>
  <c r="AI132" i="31"/>
  <c r="AJ51" i="31"/>
  <c r="AI43" i="31"/>
  <c r="AG206" i="31"/>
  <c r="J54" i="31"/>
  <c r="AI173" i="31"/>
  <c r="AI8" i="31" s="1"/>
  <c r="AI71" i="31"/>
  <c r="AI80" i="31"/>
  <c r="AC126" i="31"/>
  <c r="AJ145" i="31"/>
  <c r="W17" i="31"/>
  <c r="E17" i="31"/>
  <c r="AI96" i="31"/>
  <c r="AA210" i="31"/>
  <c r="C210" i="31"/>
  <c r="AK64" i="31"/>
  <c r="I36" i="31"/>
  <c r="AK82" i="31"/>
  <c r="AD201" i="31"/>
  <c r="AJ76" i="31"/>
  <c r="AJ75" i="31"/>
  <c r="AE201" i="31"/>
  <c r="AK49" i="31"/>
  <c r="AK130" i="31"/>
  <c r="AI130" i="31" s="1"/>
  <c r="AK145" i="31"/>
  <c r="AK33" i="31"/>
  <c r="AJ30" i="31"/>
  <c r="AL72" i="31"/>
  <c r="AK40" i="31"/>
  <c r="AD198" i="31"/>
  <c r="Q21" i="31"/>
  <c r="F17" i="31"/>
  <c r="AL64" i="31"/>
  <c r="AC205" i="31"/>
  <c r="Y205" i="31"/>
  <c r="Y204" i="31" s="1"/>
  <c r="AI68" i="31"/>
  <c r="AJ100" i="31"/>
  <c r="AI102" i="31"/>
  <c r="AI100" i="31" s="1"/>
  <c r="U111" i="31"/>
  <c r="Q57" i="31"/>
  <c r="Q109" i="31"/>
  <c r="M208" i="31" s="1"/>
  <c r="M207" i="31" s="1"/>
  <c r="AK50" i="31"/>
  <c r="AK47" i="31"/>
  <c r="AI47" i="31" s="1"/>
  <c r="N45" i="31"/>
  <c r="N20" i="31"/>
  <c r="R75" i="31"/>
  <c r="U73" i="31"/>
  <c r="Q196" i="31" s="1"/>
  <c r="AI148" i="31"/>
  <c r="R21" i="31"/>
  <c r="AK31" i="31"/>
  <c r="AK41" i="31"/>
  <c r="Q20" i="31"/>
  <c r="AJ20" i="31" s="1"/>
  <c r="R127" i="31"/>
  <c r="N197" i="31" s="1"/>
  <c r="N195" i="31" s="1"/>
  <c r="Y191" i="31"/>
  <c r="Y192" i="31"/>
  <c r="Z59" i="31"/>
  <c r="AK59" i="31" s="1"/>
  <c r="Z163" i="31"/>
  <c r="V209" i="31" s="1"/>
  <c r="V207" i="31" s="1"/>
  <c r="AK166" i="31"/>
  <c r="AI166" i="31" s="1"/>
  <c r="AI138" i="31"/>
  <c r="AI136" i="31" s="1"/>
  <c r="AJ136" i="31"/>
  <c r="AK170" i="31"/>
  <c r="AI170" i="31" s="1"/>
  <c r="AD61" i="31"/>
  <c r="AK61" i="31" s="1"/>
  <c r="AI61" i="31" s="1"/>
  <c r="AD163" i="31"/>
  <c r="AD126" i="31" s="1"/>
  <c r="N127" i="31"/>
  <c r="AK128" i="31"/>
  <c r="AK127" i="31" s="1"/>
  <c r="O195" i="31"/>
  <c r="O210" i="31" s="1"/>
  <c r="AE197" i="31"/>
  <c r="AE195" i="31" s="1"/>
  <c r="Q91" i="31"/>
  <c r="M202" i="31" s="1"/>
  <c r="M201" i="31" s="1"/>
  <c r="Q39" i="31"/>
  <c r="Q36" i="31" s="1"/>
  <c r="AC190" i="31"/>
  <c r="AG190" i="31" s="1"/>
  <c r="I187" i="31"/>
  <c r="AC187" i="31" s="1"/>
  <c r="AG187" i="31" s="1"/>
  <c r="AA191" i="31"/>
  <c r="AA185" i="31" s="1"/>
  <c r="AA192" i="31"/>
  <c r="AA186" i="31" s="1"/>
  <c r="AD204" i="31"/>
  <c r="R110" i="31"/>
  <c r="N109" i="31"/>
  <c r="N56" i="31"/>
  <c r="Q127" i="31"/>
  <c r="AC77" i="31"/>
  <c r="AJ77" i="31" s="1"/>
  <c r="Y22" i="31"/>
  <c r="Y73" i="31"/>
  <c r="AC36" i="31"/>
  <c r="AJ42" i="31"/>
  <c r="AJ46" i="31"/>
  <c r="M45" i="31"/>
  <c r="AJ33" i="31"/>
  <c r="AJ129" i="31"/>
  <c r="AI129" i="31" s="1"/>
  <c r="AJ49" i="31"/>
  <c r="R91" i="31"/>
  <c r="R39" i="31"/>
  <c r="R36" i="31" s="1"/>
  <c r="Y59" i="31"/>
  <c r="AJ59" i="31" s="1"/>
  <c r="Y163" i="31"/>
  <c r="U209" i="31" s="1"/>
  <c r="AK165" i="31"/>
  <c r="N163" i="31"/>
  <c r="J209" i="31" s="1"/>
  <c r="J207" i="31" s="1"/>
  <c r="Y58" i="31"/>
  <c r="Y109" i="31"/>
  <c r="U208" i="31" s="1"/>
  <c r="U207" i="31" s="1"/>
  <c r="AG199" i="31"/>
  <c r="U197" i="31"/>
  <c r="AK168" i="31"/>
  <c r="AI168" i="31" s="1"/>
  <c r="AA17" i="31"/>
  <c r="AK57" i="31"/>
  <c r="AI37" i="31"/>
  <c r="M163" i="31"/>
  <c r="I209" i="31" s="1"/>
  <c r="I207" i="31" s="1"/>
  <c r="AJ165" i="31"/>
  <c r="M56" i="31"/>
  <c r="M27" i="31"/>
  <c r="AJ29" i="31"/>
  <c r="R163" i="31"/>
  <c r="N209" i="31" s="1"/>
  <c r="N207" i="31" s="1"/>
  <c r="AL36" i="31"/>
  <c r="AE17" i="31"/>
  <c r="AI25" i="31"/>
  <c r="C189" i="31"/>
  <c r="AG9" i="31"/>
  <c r="AG7" i="31"/>
  <c r="C186" i="31" s="1"/>
  <c r="AI87" i="31"/>
  <c r="AI82" i="31" s="1"/>
  <c r="AJ82" i="31"/>
  <c r="AI79" i="31"/>
  <c r="AI67" i="31"/>
  <c r="AJ64" i="31"/>
  <c r="AK32" i="31"/>
  <c r="AI32" i="31" s="1"/>
  <c r="AC114" i="31"/>
  <c r="AJ114" i="31" s="1"/>
  <c r="Y60" i="31"/>
  <c r="V197" i="31"/>
  <c r="V195" i="31" s="1"/>
  <c r="K191" i="31"/>
  <c r="K192" i="31"/>
  <c r="AJ154" i="31"/>
  <c r="AI155" i="31"/>
  <c r="I126" i="31"/>
  <c r="AK94" i="31"/>
  <c r="AK91" i="31" s="1"/>
  <c r="AJ48" i="31"/>
  <c r="AI48" i="31" s="1"/>
  <c r="AH6" i="31"/>
  <c r="D185" i="31" s="1"/>
  <c r="AJ50" i="31"/>
  <c r="Y41" i="31"/>
  <c r="Y91" i="31"/>
  <c r="U202" i="31" s="1"/>
  <c r="U201" i="31" s="1"/>
  <c r="U40" i="31"/>
  <c r="U91" i="31"/>
  <c r="Q202" i="31" s="1"/>
  <c r="Q201" i="31" s="1"/>
  <c r="C192" i="31"/>
  <c r="AG12" i="31"/>
  <c r="C191" i="31" s="1"/>
  <c r="AG193" i="31"/>
  <c r="AC78" i="31"/>
  <c r="AC23" i="31" s="1"/>
  <c r="Y23" i="31"/>
  <c r="AK30" i="31"/>
  <c r="O17" i="31"/>
  <c r="AI145" i="31"/>
  <c r="I72" i="31"/>
  <c r="I18" i="31"/>
  <c r="Z76" i="31"/>
  <c r="AK76" i="31" s="1"/>
  <c r="V21" i="31"/>
  <c r="Z109" i="31"/>
  <c r="Z58" i="31"/>
  <c r="AK112" i="31"/>
  <c r="AI112" i="31" s="1"/>
  <c r="AK51" i="31"/>
  <c r="AJ128" i="31"/>
  <c r="M127" i="31"/>
  <c r="R74" i="31"/>
  <c r="AK74" i="31" s="1"/>
  <c r="N19" i="31"/>
  <c r="N73" i="31"/>
  <c r="Z197" i="31"/>
  <c r="Z195" i="31" s="1"/>
  <c r="E191" i="31"/>
  <c r="E185" i="31" s="1"/>
  <c r="E192" i="31"/>
  <c r="E186" i="31" s="1"/>
  <c r="G186" i="31" s="1"/>
  <c r="S191" i="31"/>
  <c r="S185" i="31" s="1"/>
  <c r="S192" i="31"/>
  <c r="S186" i="31" s="1"/>
  <c r="O191" i="31"/>
  <c r="O185" i="31" s="1"/>
  <c r="O192" i="31"/>
  <c r="O186" i="31" s="1"/>
  <c r="AD77" i="31"/>
  <c r="AK77" i="31" s="1"/>
  <c r="Z22" i="31"/>
  <c r="AL27" i="31"/>
  <c r="Y200" i="31"/>
  <c r="Y198" i="31" s="1"/>
  <c r="AC200" i="31"/>
  <c r="AC202" i="31"/>
  <c r="Y202" i="31"/>
  <c r="Y201" i="31" s="1"/>
  <c r="M73" i="31"/>
  <c r="Q74" i="31"/>
  <c r="AJ74" i="31" s="1"/>
  <c r="M19" i="31"/>
  <c r="AD114" i="31"/>
  <c r="AK114" i="31" s="1"/>
  <c r="Z60" i="31"/>
  <c r="S17" i="31"/>
  <c r="AL45" i="31"/>
  <c r="AJ93" i="31"/>
  <c r="M38" i="31"/>
  <c r="M91" i="31"/>
  <c r="I202" i="31" s="1"/>
  <c r="I201" i="31" s="1"/>
  <c r="J18" i="31"/>
  <c r="J72" i="31"/>
  <c r="R197" i="31"/>
  <c r="R195" i="31" s="1"/>
  <c r="R210" i="31" s="1"/>
  <c r="V126" i="31"/>
  <c r="AD78" i="31"/>
  <c r="Z23" i="31"/>
  <c r="U21" i="31"/>
  <c r="U127" i="31"/>
  <c r="AL126" i="31"/>
  <c r="AK100" i="31"/>
  <c r="AI51" i="31" l="1"/>
  <c r="AI76" i="31"/>
  <c r="AI42" i="31"/>
  <c r="J17" i="31"/>
  <c r="AI154" i="31"/>
  <c r="AI94" i="31"/>
  <c r="AI64" i="31"/>
  <c r="AK39" i="31"/>
  <c r="I17" i="31"/>
  <c r="AJ21" i="31"/>
  <c r="Y126" i="31"/>
  <c r="AK36" i="31"/>
  <c r="AI50" i="31"/>
  <c r="AI33" i="31"/>
  <c r="AE210" i="31"/>
  <c r="AK27" i="31"/>
  <c r="AJ23" i="31"/>
  <c r="AI77" i="31"/>
  <c r="Z126" i="31"/>
  <c r="V75" i="31"/>
  <c r="R20" i="31"/>
  <c r="AL17" i="31"/>
  <c r="V210" i="31"/>
  <c r="N210" i="31"/>
  <c r="AI31" i="31"/>
  <c r="AJ78" i="31"/>
  <c r="AJ73" i="31" s="1"/>
  <c r="U57" i="31"/>
  <c r="U54" i="31" s="1"/>
  <c r="U109" i="31"/>
  <c r="Q208" i="31" s="1"/>
  <c r="Q207" i="31" s="1"/>
  <c r="AC204" i="31"/>
  <c r="AG205" i="31"/>
  <c r="AG204" i="31" s="1"/>
  <c r="Q54" i="31"/>
  <c r="AI30" i="31"/>
  <c r="AI49" i="31"/>
  <c r="AL6" i="31"/>
  <c r="AJ111" i="31"/>
  <c r="AI74" i="31"/>
  <c r="Q197" i="31"/>
  <c r="Q195" i="31" s="1"/>
  <c r="U126" i="31"/>
  <c r="AD60" i="31"/>
  <c r="AD54" i="31" s="1"/>
  <c r="AD109" i="31"/>
  <c r="AD208" i="31" s="1"/>
  <c r="I196" i="31"/>
  <c r="M72" i="31"/>
  <c r="M18" i="31"/>
  <c r="AD73" i="31"/>
  <c r="AD22" i="31"/>
  <c r="AK22" i="31" s="1"/>
  <c r="R73" i="31"/>
  <c r="R19" i="31"/>
  <c r="AK19" i="31" s="1"/>
  <c r="U72" i="31"/>
  <c r="U36" i="31"/>
  <c r="AJ40" i="31"/>
  <c r="AI40" i="31" s="1"/>
  <c r="G185" i="31"/>
  <c r="AE191" i="31"/>
  <c r="K185" i="31"/>
  <c r="AE185" i="31" s="1"/>
  <c r="AJ56" i="31"/>
  <c r="M54" i="31"/>
  <c r="AK45" i="31"/>
  <c r="V110" i="31"/>
  <c r="AK110" i="31" s="1"/>
  <c r="R109" i="31"/>
  <c r="R56" i="31"/>
  <c r="R54" i="31" s="1"/>
  <c r="R126" i="31"/>
  <c r="R191" i="31"/>
  <c r="R185" i="31" s="1"/>
  <c r="R192" i="31"/>
  <c r="R186" i="31" s="1"/>
  <c r="N72" i="31"/>
  <c r="N18" i="31"/>
  <c r="I197" i="31"/>
  <c r="M126" i="31"/>
  <c r="Z54" i="31"/>
  <c r="AK58" i="31"/>
  <c r="V191" i="31"/>
  <c r="V185" i="31" s="1"/>
  <c r="V192" i="31"/>
  <c r="V186" i="31" s="1"/>
  <c r="AC60" i="31"/>
  <c r="AC54" i="31" s="1"/>
  <c r="AC109" i="31"/>
  <c r="C188" i="31"/>
  <c r="AG6" i="31"/>
  <c r="C185" i="31" s="1"/>
  <c r="AJ39" i="31"/>
  <c r="AI29" i="31"/>
  <c r="AJ27" i="31"/>
  <c r="AI165" i="31"/>
  <c r="AI163" i="31" s="1"/>
  <c r="AJ163" i="31"/>
  <c r="AK163" i="31"/>
  <c r="AJ45" i="31"/>
  <c r="AI46" i="31"/>
  <c r="U196" i="31"/>
  <c r="U195" i="31" s="1"/>
  <c r="U210" i="31" s="1"/>
  <c r="Y72" i="31"/>
  <c r="Y18" i="31"/>
  <c r="M197" i="31"/>
  <c r="Q126" i="31"/>
  <c r="AK126" i="31"/>
  <c r="Z209" i="31"/>
  <c r="Z207" i="31" s="1"/>
  <c r="Z210" i="31" s="1"/>
  <c r="AD209" i="31"/>
  <c r="AG209" i="31" s="1"/>
  <c r="AL7" i="31"/>
  <c r="AJ38" i="31"/>
  <c r="M36" i="31"/>
  <c r="AC201" i="31"/>
  <c r="AG202" i="31"/>
  <c r="AG201" i="31" s="1"/>
  <c r="Z191" i="31"/>
  <c r="Z185" i="31" s="1"/>
  <c r="Z192" i="31"/>
  <c r="Z186" i="31" s="1"/>
  <c r="AI128" i="31"/>
  <c r="AI127" i="31" s="1"/>
  <c r="AJ127" i="31"/>
  <c r="Y36" i="31"/>
  <c r="AJ41" i="31"/>
  <c r="AI41" i="31" s="1"/>
  <c r="N54" i="31"/>
  <c r="J197" i="31"/>
  <c r="N126" i="31"/>
  <c r="AD23" i="31"/>
  <c r="AK23" i="31" s="1"/>
  <c r="AK78" i="31"/>
  <c r="AI93" i="31"/>
  <c r="AI91" i="31" s="1"/>
  <c r="AJ91" i="31"/>
  <c r="Q73" i="31"/>
  <c r="Q19" i="31"/>
  <c r="AJ19" i="31" s="1"/>
  <c r="AG200" i="31"/>
  <c r="AG198" i="31" s="1"/>
  <c r="AC198" i="31"/>
  <c r="Z73" i="31"/>
  <c r="Z21" i="31"/>
  <c r="AK21" i="31" s="1"/>
  <c r="AI21" i="31" s="1"/>
  <c r="U18" i="31"/>
  <c r="AE192" i="31"/>
  <c r="K186" i="31"/>
  <c r="AE186" i="31" s="1"/>
  <c r="AI114" i="31"/>
  <c r="G192" i="31"/>
  <c r="U191" i="31"/>
  <c r="U192" i="31"/>
  <c r="Y54" i="31"/>
  <c r="AJ58" i="31"/>
  <c r="AI59" i="31"/>
  <c r="AC73" i="31"/>
  <c r="AC22" i="31"/>
  <c r="AJ22" i="31" s="1"/>
  <c r="G191" i="31"/>
  <c r="AI39" i="31" l="1"/>
  <c r="AI27" i="31"/>
  <c r="AI78" i="31"/>
  <c r="AI23" i="31"/>
  <c r="AI45" i="31"/>
  <c r="N17" i="31"/>
  <c r="V20" i="31"/>
  <c r="AK20" i="31" s="1"/>
  <c r="AI20" i="31" s="1"/>
  <c r="V73" i="31"/>
  <c r="V18" i="31" s="1"/>
  <c r="AK75" i="31"/>
  <c r="Y17" i="31"/>
  <c r="AI58" i="31"/>
  <c r="U17" i="31"/>
  <c r="Q210" i="31"/>
  <c r="AI111" i="31"/>
  <c r="AJ109" i="31"/>
  <c r="AJ72" i="31" s="1"/>
  <c r="AJ57" i="31"/>
  <c r="AI57" i="31" s="1"/>
  <c r="AJ18" i="31"/>
  <c r="AI19" i="31"/>
  <c r="J191" i="31"/>
  <c r="J192" i="31"/>
  <c r="R72" i="31"/>
  <c r="R18" i="31"/>
  <c r="R17" i="31" s="1"/>
  <c r="Q191" i="31"/>
  <c r="Q192" i="31"/>
  <c r="AI22" i="31"/>
  <c r="M196" i="31"/>
  <c r="M195" i="31" s="1"/>
  <c r="M210" i="31" s="1"/>
  <c r="Q72" i="31"/>
  <c r="Q18" i="31"/>
  <c r="Q17" i="31" s="1"/>
  <c r="J195" i="31"/>
  <c r="J210" i="31" s="1"/>
  <c r="AD210" i="31" s="1"/>
  <c r="AD197" i="31"/>
  <c r="AD195" i="31" s="1"/>
  <c r="AK109" i="31"/>
  <c r="AI110" i="31"/>
  <c r="V109" i="31"/>
  <c r="V56" i="31"/>
  <c r="I195" i="31"/>
  <c r="I210" i="31" s="1"/>
  <c r="AJ60" i="31"/>
  <c r="Y196" i="31"/>
  <c r="Y195" i="31" s="1"/>
  <c r="AC72" i="31"/>
  <c r="AC18" i="31"/>
  <c r="AC17" i="31" s="1"/>
  <c r="AJ126" i="31"/>
  <c r="M191" i="31"/>
  <c r="M192" i="31"/>
  <c r="I191" i="31"/>
  <c r="I192" i="31"/>
  <c r="N191" i="31"/>
  <c r="N185" i="31" s="1"/>
  <c r="N192" i="31"/>
  <c r="N186" i="31" s="1"/>
  <c r="AD72" i="31"/>
  <c r="AD18" i="31"/>
  <c r="AD17" i="31" s="1"/>
  <c r="AD207" i="31"/>
  <c r="Z72" i="31"/>
  <c r="Z18" i="31"/>
  <c r="Z17" i="31" s="1"/>
  <c r="AI126" i="31"/>
  <c r="AI38" i="31"/>
  <c r="AI36" i="31" s="1"/>
  <c r="AJ36" i="31"/>
  <c r="Y208" i="31"/>
  <c r="Y207" i="31" s="1"/>
  <c r="AC208" i="31"/>
  <c r="AC197" i="31"/>
  <c r="M17" i="31"/>
  <c r="AK60" i="31"/>
  <c r="AG197" i="31" l="1"/>
  <c r="AK18" i="31"/>
  <c r="V72" i="31"/>
  <c r="Y210" i="31"/>
  <c r="AC210" i="31" s="1"/>
  <c r="AG210" i="31" s="1"/>
  <c r="AI109" i="31"/>
  <c r="AJ17" i="31"/>
  <c r="AI60" i="31"/>
  <c r="AI75" i="31"/>
  <c r="AI73" i="31" s="1"/>
  <c r="AK73" i="31"/>
  <c r="AK72" i="31" s="1"/>
  <c r="AC192" i="31"/>
  <c r="AC191" i="31"/>
  <c r="I189" i="31"/>
  <c r="AD191" i="31"/>
  <c r="J185" i="31"/>
  <c r="AD185" i="31" s="1"/>
  <c r="AC196" i="31"/>
  <c r="AG208" i="31"/>
  <c r="AG207" i="31" s="1"/>
  <c r="AC207" i="31"/>
  <c r="AI18" i="31"/>
  <c r="Q189" i="31"/>
  <c r="V54" i="31"/>
  <c r="V17" i="31" s="1"/>
  <c r="AK17" i="31" s="1"/>
  <c r="AK56" i="31"/>
  <c r="U189" i="31"/>
  <c r="AJ54" i="31"/>
  <c r="J186" i="31"/>
  <c r="AD186" i="31" s="1"/>
  <c r="AD192" i="31"/>
  <c r="AI72" i="31" l="1"/>
  <c r="AG192" i="31"/>
  <c r="AI17" i="31"/>
  <c r="AK6" i="31"/>
  <c r="AK7" i="31"/>
  <c r="AG191" i="31"/>
  <c r="U188" i="31"/>
  <c r="U185" i="31" s="1"/>
  <c r="U186" i="31"/>
  <c r="AK54" i="31"/>
  <c r="AI56" i="31"/>
  <c r="AI54" i="31" s="1"/>
  <c r="Q188" i="31"/>
  <c r="Q185" i="31" s="1"/>
  <c r="Q186" i="31"/>
  <c r="Y189" i="31"/>
  <c r="AG196" i="31"/>
  <c r="AG195" i="31" s="1"/>
  <c r="AC195" i="31"/>
  <c r="I188" i="31"/>
  <c r="I186" i="31"/>
  <c r="M189" i="31"/>
  <c r="AC189" i="31" l="1"/>
  <c r="AG189" i="31" s="1"/>
  <c r="Y186" i="31"/>
  <c r="Y188" i="31"/>
  <c r="Y185" i="31" s="1"/>
  <c r="M188" i="31"/>
  <c r="M185" i="31" s="1"/>
  <c r="M186" i="31"/>
  <c r="I185" i="31"/>
  <c r="AC186" i="31" l="1"/>
  <c r="AG186" i="31" s="1"/>
  <c r="AC185" i="31"/>
  <c r="AG185" i="31" s="1"/>
  <c r="AC188" i="31"/>
  <c r="AG188" i="31" s="1"/>
  <c r="P61" i="25" l="1"/>
  <c r="P62" i="25"/>
  <c r="P63" i="25"/>
  <c r="P65" i="25"/>
  <c r="P66" i="25"/>
  <c r="P67" i="25"/>
  <c r="P68" i="25"/>
  <c r="P69" i="25"/>
  <c r="P70" i="25"/>
  <c r="P64" i="25"/>
  <c r="F28" i="25"/>
  <c r="F16" i="25"/>
  <c r="F15" i="25"/>
  <c r="D22" i="25"/>
  <c r="D16" i="25"/>
  <c r="D14" i="25"/>
  <c r="D13" i="25"/>
  <c r="J61" i="25"/>
  <c r="K61" i="25"/>
  <c r="L61" i="25"/>
  <c r="M61" i="25"/>
  <c r="N61" i="25"/>
  <c r="J62" i="25"/>
  <c r="K62" i="25"/>
  <c r="L62" i="25"/>
  <c r="M62" i="25"/>
  <c r="N62" i="25"/>
  <c r="J63" i="25"/>
  <c r="K63" i="25"/>
  <c r="L63" i="25"/>
  <c r="M63" i="25"/>
  <c r="N63" i="25"/>
  <c r="J64" i="25"/>
  <c r="K64" i="25"/>
  <c r="L64" i="25"/>
  <c r="M64" i="25"/>
  <c r="N64" i="25"/>
  <c r="J65" i="25"/>
  <c r="K65" i="25"/>
  <c r="L65" i="25"/>
  <c r="M65" i="25"/>
  <c r="N65" i="25"/>
  <c r="J66" i="25"/>
  <c r="K66" i="25"/>
  <c r="L66" i="25"/>
  <c r="M66" i="25"/>
  <c r="N66" i="25"/>
  <c r="J67" i="25"/>
  <c r="K67" i="25"/>
  <c r="L67" i="25"/>
  <c r="M67" i="25"/>
  <c r="N67" i="25"/>
  <c r="J68" i="25"/>
  <c r="K68" i="25"/>
  <c r="L68" i="25"/>
  <c r="M68" i="25"/>
  <c r="N68" i="25"/>
  <c r="J69" i="25"/>
  <c r="K69" i="25"/>
  <c r="L69" i="25"/>
  <c r="M69" i="25"/>
  <c r="N69" i="25"/>
  <c r="J70" i="25"/>
  <c r="K70" i="25"/>
  <c r="L70" i="25"/>
  <c r="M70" i="25"/>
  <c r="N70" i="25"/>
  <c r="I62" i="25"/>
  <c r="I63" i="25"/>
  <c r="I64" i="25"/>
  <c r="I65" i="25"/>
  <c r="I66" i="25"/>
  <c r="I67" i="25"/>
  <c r="I68" i="25"/>
  <c r="I69" i="25"/>
  <c r="I70" i="25"/>
  <c r="I61" i="25"/>
  <c r="L7" i="27"/>
  <c r="S8" i="27"/>
  <c r="T8" i="27"/>
  <c r="S9" i="27"/>
  <c r="T9" i="27"/>
  <c r="O9" i="27"/>
  <c r="L9" i="27"/>
  <c r="I9" i="27"/>
  <c r="F9" i="27"/>
  <c r="C9" i="27"/>
  <c r="O8" i="27"/>
  <c r="L8" i="27"/>
  <c r="I8" i="27"/>
  <c r="F8" i="27"/>
  <c r="C8" i="27"/>
  <c r="T7" i="27" l="1"/>
  <c r="R9" i="27"/>
  <c r="R8" i="27"/>
  <c r="O7" i="27"/>
  <c r="I7" i="27"/>
  <c r="O6" i="27"/>
  <c r="O5" i="27" s="1"/>
  <c r="L6" i="27"/>
  <c r="L5" i="27" s="1"/>
  <c r="I6" i="27"/>
  <c r="T6" i="27"/>
  <c r="T5" i="27" s="1"/>
  <c r="F6" i="27"/>
  <c r="F5" i="27" s="1"/>
  <c r="S6" i="27"/>
  <c r="F7" i="27"/>
  <c r="S7" i="27"/>
  <c r="I5" i="27" l="1"/>
  <c r="S5" i="27"/>
  <c r="C6" i="27"/>
  <c r="C7" i="27"/>
  <c r="R7" i="27" s="1"/>
  <c r="E52" i="26"/>
  <c r="C51" i="26"/>
  <c r="E51" i="26" s="1"/>
  <c r="E50" i="26"/>
  <c r="E49" i="26" s="1"/>
  <c r="C48" i="26"/>
  <c r="E48" i="26" s="1"/>
  <c r="C47" i="26"/>
  <c r="E47" i="26" s="1"/>
  <c r="C46" i="26"/>
  <c r="E46" i="26" s="1"/>
  <c r="D44" i="26"/>
  <c r="C43" i="26"/>
  <c r="E43" i="26" s="1"/>
  <c r="C42" i="26"/>
  <c r="E42" i="26" s="1"/>
  <c r="E40" i="26" s="1"/>
  <c r="E41" i="26"/>
  <c r="C40" i="26"/>
  <c r="D35" i="26"/>
  <c r="E34" i="26"/>
  <c r="C33" i="26"/>
  <c r="E33" i="26" s="1"/>
  <c r="E31" i="26" s="1"/>
  <c r="E32" i="26"/>
  <c r="C31" i="26"/>
  <c r="C30" i="26"/>
  <c r="E30" i="26" s="1"/>
  <c r="C29" i="26"/>
  <c r="E29" i="26" s="1"/>
  <c r="E25" i="26"/>
  <c r="C24" i="26"/>
  <c r="E24" i="26" s="1"/>
  <c r="E22" i="26" s="1"/>
  <c r="E23" i="26"/>
  <c r="C22" i="26"/>
  <c r="C21" i="26"/>
  <c r="E21" i="26" s="1"/>
  <c r="C20" i="26"/>
  <c r="E20" i="26" s="1"/>
  <c r="E16" i="26"/>
  <c r="E15" i="26"/>
  <c r="E14" i="26"/>
  <c r="C13" i="26"/>
  <c r="C12" i="26"/>
  <c r="C39" i="26" s="1"/>
  <c r="E39" i="26" s="1"/>
  <c r="C11" i="26"/>
  <c r="E11" i="26" s="1"/>
  <c r="N10" i="26"/>
  <c r="M10" i="26"/>
  <c r="L10" i="26"/>
  <c r="K10" i="26"/>
  <c r="J10" i="26"/>
  <c r="O10" i="26" s="1"/>
  <c r="O9" i="26"/>
  <c r="O8" i="26"/>
  <c r="O7" i="26"/>
  <c r="C28" i="26" s="1"/>
  <c r="O6" i="26"/>
  <c r="C19" i="26" s="1"/>
  <c r="C18" i="26" s="1"/>
  <c r="C17" i="26" s="1"/>
  <c r="O5" i="26"/>
  <c r="C10" i="26" s="1"/>
  <c r="E10" i="26" s="1"/>
  <c r="F54" i="25"/>
  <c r="F51" i="25"/>
  <c r="E50" i="25"/>
  <c r="H45" i="25"/>
  <c r="F45" i="25"/>
  <c r="Z41" i="25"/>
  <c r="X41" i="25"/>
  <c r="W41" i="25"/>
  <c r="U41" i="25"/>
  <c r="S41" i="25"/>
  <c r="Q41" i="25"/>
  <c r="O41" i="25"/>
  <c r="M41" i="25"/>
  <c r="K41" i="25"/>
  <c r="I41" i="25"/>
  <c r="E41" i="25"/>
  <c r="E36" i="25" s="1"/>
  <c r="Z40" i="25"/>
  <c r="X40" i="25"/>
  <c r="W40" i="25"/>
  <c r="U40" i="25"/>
  <c r="S40" i="25"/>
  <c r="Q40" i="25"/>
  <c r="O40" i="25"/>
  <c r="M40" i="25"/>
  <c r="K40" i="25"/>
  <c r="I40" i="25"/>
  <c r="G40" i="25"/>
  <c r="Z39" i="25"/>
  <c r="X39" i="25"/>
  <c r="W39" i="25"/>
  <c r="U39" i="25"/>
  <c r="S39" i="25"/>
  <c r="Q39" i="25"/>
  <c r="O39" i="25"/>
  <c r="M39" i="25"/>
  <c r="K39" i="25"/>
  <c r="I39" i="25"/>
  <c r="G39" i="25"/>
  <c r="Z38" i="25"/>
  <c r="X38" i="25"/>
  <c r="AB38" i="25" s="1"/>
  <c r="W38" i="25"/>
  <c r="U38" i="25"/>
  <c r="S38" i="25"/>
  <c r="Q38" i="25"/>
  <c r="O38" i="25"/>
  <c r="M38" i="25"/>
  <c r="K38" i="25"/>
  <c r="I38" i="25"/>
  <c r="G38" i="25"/>
  <c r="Z37" i="25"/>
  <c r="X37" i="25"/>
  <c r="W37" i="25"/>
  <c r="U37" i="25"/>
  <c r="S37" i="25"/>
  <c r="Q37" i="25"/>
  <c r="O37" i="25"/>
  <c r="M37" i="25"/>
  <c r="K37" i="25"/>
  <c r="I37" i="25"/>
  <c r="G37" i="25"/>
  <c r="V36" i="25"/>
  <c r="T36" i="25"/>
  <c r="R36" i="25"/>
  <c r="P36" i="25"/>
  <c r="N36" i="25"/>
  <c r="L36" i="25"/>
  <c r="J36" i="25"/>
  <c r="H36" i="25"/>
  <c r="F36" i="25"/>
  <c r="D36" i="25"/>
  <c r="Z35" i="25"/>
  <c r="X35" i="25"/>
  <c r="C35" i="25"/>
  <c r="W35" i="25" s="1"/>
  <c r="Z34" i="25"/>
  <c r="X34" i="25"/>
  <c r="C34" i="25"/>
  <c r="Q34" i="25" s="1"/>
  <c r="Z33" i="25"/>
  <c r="X33" i="25"/>
  <c r="C33" i="25"/>
  <c r="U33" i="25" s="1"/>
  <c r="Z32" i="25"/>
  <c r="X32" i="25"/>
  <c r="C32" i="25"/>
  <c r="S32" i="25" s="1"/>
  <c r="Z31" i="25"/>
  <c r="X31" i="25"/>
  <c r="C31" i="25"/>
  <c r="S31" i="25" s="1"/>
  <c r="V30" i="25"/>
  <c r="T30" i="25"/>
  <c r="R30" i="25"/>
  <c r="P30" i="25"/>
  <c r="N30" i="25"/>
  <c r="L30" i="25"/>
  <c r="J30" i="25"/>
  <c r="H30" i="25"/>
  <c r="F30" i="25"/>
  <c r="D30" i="25"/>
  <c r="Z29" i="25"/>
  <c r="X29" i="25"/>
  <c r="W29" i="25"/>
  <c r="U29" i="25"/>
  <c r="S29" i="25"/>
  <c r="Q29" i="25"/>
  <c r="O29" i="25"/>
  <c r="M29" i="25"/>
  <c r="K29" i="25"/>
  <c r="I29" i="25"/>
  <c r="G29" i="25"/>
  <c r="E29" i="25"/>
  <c r="Z28" i="25"/>
  <c r="X28" i="25"/>
  <c r="W28" i="25"/>
  <c r="U28" i="25"/>
  <c r="S28" i="25"/>
  <c r="Q28" i="25"/>
  <c r="O28" i="25"/>
  <c r="M28" i="25"/>
  <c r="K28" i="25"/>
  <c r="I28" i="25"/>
  <c r="G28" i="25"/>
  <c r="E28" i="25"/>
  <c r="Z27" i="25"/>
  <c r="X27" i="25"/>
  <c r="W27" i="25"/>
  <c r="U27" i="25"/>
  <c r="S27" i="25"/>
  <c r="Q27" i="25"/>
  <c r="O27" i="25"/>
  <c r="M27" i="25"/>
  <c r="K27" i="25"/>
  <c r="I27" i="25"/>
  <c r="G27" i="25"/>
  <c r="E27" i="25"/>
  <c r="Z26" i="25"/>
  <c r="X26" i="25"/>
  <c r="W26" i="25"/>
  <c r="U26" i="25"/>
  <c r="S26" i="25"/>
  <c r="Q26" i="25"/>
  <c r="O26" i="25"/>
  <c r="M26" i="25"/>
  <c r="K26" i="25"/>
  <c r="I26" i="25"/>
  <c r="G26" i="25"/>
  <c r="E26" i="25"/>
  <c r="Z25" i="25"/>
  <c r="X25" i="25"/>
  <c r="W25" i="25"/>
  <c r="U25" i="25"/>
  <c r="S25" i="25"/>
  <c r="Q25" i="25"/>
  <c r="O25" i="25"/>
  <c r="M25" i="25"/>
  <c r="K25" i="25"/>
  <c r="I25" i="25"/>
  <c r="G25" i="25"/>
  <c r="E25" i="25"/>
  <c r="V24" i="25"/>
  <c r="T24" i="25"/>
  <c r="R24" i="25"/>
  <c r="P24" i="25"/>
  <c r="N24" i="25"/>
  <c r="L24" i="25"/>
  <c r="J24" i="25"/>
  <c r="H24" i="25"/>
  <c r="F24" i="25"/>
  <c r="D24" i="25"/>
  <c r="Z22" i="25"/>
  <c r="X22" i="25"/>
  <c r="C22" i="25"/>
  <c r="Q22" i="25" s="1"/>
  <c r="Z21" i="25"/>
  <c r="X21" i="25"/>
  <c r="C21" i="25"/>
  <c r="W21" i="25" s="1"/>
  <c r="Z20" i="25"/>
  <c r="X20" i="25"/>
  <c r="C20" i="25"/>
  <c r="S20" i="25" s="1"/>
  <c r="Z19" i="25"/>
  <c r="X19" i="25"/>
  <c r="C19" i="25"/>
  <c r="K19" i="25" s="1"/>
  <c r="Z18" i="25"/>
  <c r="X18" i="25"/>
  <c r="C18" i="25"/>
  <c r="U18" i="25" s="1"/>
  <c r="V17" i="25"/>
  <c r="T17" i="25"/>
  <c r="R17" i="25"/>
  <c r="P17" i="25"/>
  <c r="N17" i="25"/>
  <c r="L17" i="25"/>
  <c r="J17" i="25"/>
  <c r="H17" i="25"/>
  <c r="F17" i="25"/>
  <c r="D17" i="25"/>
  <c r="Z16" i="25"/>
  <c r="X16" i="25"/>
  <c r="W16" i="25"/>
  <c r="U16" i="25"/>
  <c r="S16" i="25"/>
  <c r="Q16" i="25"/>
  <c r="O16" i="25"/>
  <c r="M16" i="25"/>
  <c r="K16" i="25"/>
  <c r="I16" i="25"/>
  <c r="G16" i="25"/>
  <c r="E16" i="25"/>
  <c r="Z15" i="25"/>
  <c r="X15" i="25"/>
  <c r="W15" i="25"/>
  <c r="U15" i="25"/>
  <c r="S15" i="25"/>
  <c r="Q15" i="25"/>
  <c r="O15" i="25"/>
  <c r="M15" i="25"/>
  <c r="K15" i="25"/>
  <c r="I15" i="25"/>
  <c r="G15" i="25"/>
  <c r="E15" i="25"/>
  <c r="Z14" i="25"/>
  <c r="X14" i="25"/>
  <c r="W14" i="25"/>
  <c r="U14" i="25"/>
  <c r="S14" i="25"/>
  <c r="Q14" i="25"/>
  <c r="O14" i="25"/>
  <c r="M14" i="25"/>
  <c r="K14" i="25"/>
  <c r="I14" i="25"/>
  <c r="G14" i="25"/>
  <c r="E14" i="25"/>
  <c r="Z13" i="25"/>
  <c r="X13" i="25"/>
  <c r="W13" i="25"/>
  <c r="U13" i="25"/>
  <c r="S13" i="25"/>
  <c r="Q13" i="25"/>
  <c r="O13" i="25"/>
  <c r="M13" i="25"/>
  <c r="K13" i="25"/>
  <c r="I13" i="25"/>
  <c r="G13" i="25"/>
  <c r="E13" i="25"/>
  <c r="Z12" i="25"/>
  <c r="X12" i="25"/>
  <c r="W12" i="25"/>
  <c r="U12" i="25"/>
  <c r="S12" i="25"/>
  <c r="Q12" i="25"/>
  <c r="O12" i="25"/>
  <c r="M12" i="25"/>
  <c r="K12" i="25"/>
  <c r="I12" i="25"/>
  <c r="G12" i="25"/>
  <c r="E12" i="25"/>
  <c r="V11" i="25"/>
  <c r="T11" i="25"/>
  <c r="R11" i="25"/>
  <c r="P11" i="25"/>
  <c r="N11" i="25"/>
  <c r="L11" i="25"/>
  <c r="J11" i="25"/>
  <c r="H11" i="25"/>
  <c r="F11" i="25"/>
  <c r="D11" i="25"/>
  <c r="R6" i="27" l="1"/>
  <c r="R5" i="27" s="1"/>
  <c r="C5" i="27"/>
  <c r="AB35" i="25"/>
  <c r="J8" i="25"/>
  <c r="R8" i="25"/>
  <c r="F9" i="25"/>
  <c r="N9" i="25"/>
  <c r="V9" i="25"/>
  <c r="F23" i="25"/>
  <c r="AB31" i="25"/>
  <c r="AJ19" i="25"/>
  <c r="AJ22" i="25"/>
  <c r="H8" i="25"/>
  <c r="P8" i="25"/>
  <c r="D9" i="25"/>
  <c r="L9" i="25"/>
  <c r="T9" i="25"/>
  <c r="D8" i="25"/>
  <c r="L8" i="25"/>
  <c r="T8" i="25"/>
  <c r="H9" i="25"/>
  <c r="P9" i="25"/>
  <c r="F8" i="25"/>
  <c r="N8" i="25"/>
  <c r="V8" i="25"/>
  <c r="J9" i="25"/>
  <c r="R9" i="25"/>
  <c r="Y39" i="25"/>
  <c r="F10" i="25"/>
  <c r="F7" i="25" s="1"/>
  <c r="AH12" i="25" s="1"/>
  <c r="AH24" i="25" s="1"/>
  <c r="AB14" i="25"/>
  <c r="H10" i="25"/>
  <c r="AB18" i="25"/>
  <c r="S19" i="25"/>
  <c r="U19" i="25"/>
  <c r="V10" i="25"/>
  <c r="J10" i="25"/>
  <c r="AB19" i="25"/>
  <c r="Y37" i="25"/>
  <c r="AB37" i="25"/>
  <c r="AA40" i="25"/>
  <c r="D10" i="25"/>
  <c r="O19" i="25"/>
  <c r="AB20" i="25"/>
  <c r="AK21" i="25"/>
  <c r="AB22" i="25"/>
  <c r="D23" i="25"/>
  <c r="T23" i="25"/>
  <c r="AB26" i="25"/>
  <c r="AB28" i="25"/>
  <c r="AB32" i="25"/>
  <c r="AB41" i="25"/>
  <c r="AK20" i="25"/>
  <c r="G45" i="25"/>
  <c r="G50" i="25" s="1"/>
  <c r="S24" i="25"/>
  <c r="W24" i="25"/>
  <c r="Z36" i="25"/>
  <c r="X36" i="25"/>
  <c r="AA15" i="25"/>
  <c r="AB21" i="25"/>
  <c r="H23" i="25"/>
  <c r="AB12" i="25"/>
  <c r="AB16" i="25"/>
  <c r="W31" i="25"/>
  <c r="Q36" i="25"/>
  <c r="AA16" i="25"/>
  <c r="Y15" i="25"/>
  <c r="M20" i="25"/>
  <c r="W11" i="25"/>
  <c r="Q20" i="25"/>
  <c r="S33" i="25"/>
  <c r="L10" i="25"/>
  <c r="U20" i="25"/>
  <c r="O24" i="25"/>
  <c r="N10" i="25"/>
  <c r="P23" i="25"/>
  <c r="AA41" i="25"/>
  <c r="Y13" i="25"/>
  <c r="E19" i="25"/>
  <c r="K24" i="25"/>
  <c r="Y41" i="25"/>
  <c r="U36" i="25"/>
  <c r="AB13" i="25"/>
  <c r="Y14" i="25"/>
  <c r="O20" i="25"/>
  <c r="Y29" i="25"/>
  <c r="AA29" i="25"/>
  <c r="R10" i="25"/>
  <c r="G19" i="25"/>
  <c r="O36" i="25"/>
  <c r="AB39" i="25"/>
  <c r="Q11" i="25"/>
  <c r="G33" i="25"/>
  <c r="AA27" i="25"/>
  <c r="K33" i="25"/>
  <c r="AA14" i="25"/>
  <c r="AA25" i="25"/>
  <c r="W20" i="25"/>
  <c r="T10" i="25"/>
  <c r="AB15" i="25"/>
  <c r="AJ20" i="25"/>
  <c r="V23" i="25"/>
  <c r="AB34" i="25"/>
  <c r="AA37" i="25"/>
  <c r="E12" i="26"/>
  <c r="AA12" i="25"/>
  <c r="K18" i="25"/>
  <c r="AB27" i="25"/>
  <c r="M18" i="25"/>
  <c r="M22" i="25"/>
  <c r="I32" i="25"/>
  <c r="Y40" i="25"/>
  <c r="E34" i="25"/>
  <c r="G11" i="25"/>
  <c r="N23" i="25"/>
  <c r="Q32" i="25"/>
  <c r="Y27" i="25"/>
  <c r="M11" i="25"/>
  <c r="G31" i="25"/>
  <c r="I31" i="25"/>
  <c r="Y38" i="25"/>
  <c r="Z30" i="25"/>
  <c r="G32" i="25"/>
  <c r="E13" i="26"/>
  <c r="K11" i="25"/>
  <c r="L23" i="25"/>
  <c r="AA28" i="25"/>
  <c r="O32" i="25"/>
  <c r="Z17" i="25"/>
  <c r="U32" i="25"/>
  <c r="AB25" i="25"/>
  <c r="W32" i="25"/>
  <c r="O11" i="25"/>
  <c r="Y16" i="25"/>
  <c r="O21" i="25"/>
  <c r="G36" i="25"/>
  <c r="Z11" i="25"/>
  <c r="X11" i="25"/>
  <c r="AK18" i="25"/>
  <c r="G20" i="25"/>
  <c r="AA26" i="25"/>
  <c r="AB29" i="25"/>
  <c r="Q31" i="25"/>
  <c r="O35" i="25"/>
  <c r="S36" i="25"/>
  <c r="G24" i="25"/>
  <c r="E32" i="25"/>
  <c r="W36" i="25"/>
  <c r="M32" i="25"/>
  <c r="M34" i="25"/>
  <c r="AK19" i="25"/>
  <c r="K36" i="25"/>
  <c r="S11" i="25"/>
  <c r="X17" i="25"/>
  <c r="R23" i="25"/>
  <c r="E20" i="25"/>
  <c r="K31" i="25"/>
  <c r="K35" i="25"/>
  <c r="U11" i="25"/>
  <c r="U8" i="25" s="1"/>
  <c r="P10" i="25"/>
  <c r="I20" i="25"/>
  <c r="E45" i="26"/>
  <c r="E44" i="26" s="1"/>
  <c r="E9" i="26"/>
  <c r="E7" i="26"/>
  <c r="C27" i="26"/>
  <c r="C26" i="26" s="1"/>
  <c r="E28" i="26"/>
  <c r="E27" i="26" s="1"/>
  <c r="E26" i="26" s="1"/>
  <c r="C38" i="26"/>
  <c r="E38" i="26" s="1"/>
  <c r="C9" i="26"/>
  <c r="E19" i="26"/>
  <c r="E18" i="26" s="1"/>
  <c r="E17" i="26" s="1"/>
  <c r="C37" i="26"/>
  <c r="C45" i="26"/>
  <c r="C49" i="26"/>
  <c r="C7" i="26" s="1"/>
  <c r="Y12" i="25"/>
  <c r="I45" i="25"/>
  <c r="J45" i="25" s="1"/>
  <c r="K45" i="25" s="1"/>
  <c r="M45" i="25"/>
  <c r="H54" i="25"/>
  <c r="J54" i="25"/>
  <c r="AH17" i="25"/>
  <c r="X24" i="25"/>
  <c r="I11" i="25"/>
  <c r="AA13" i="25"/>
  <c r="U21" i="25"/>
  <c r="M21" i="25"/>
  <c r="E21" i="25"/>
  <c r="S21" i="25"/>
  <c r="I21" i="25"/>
  <c r="Q21" i="25"/>
  <c r="G21" i="25"/>
  <c r="W22" i="25"/>
  <c r="O22" i="25"/>
  <c r="G22" i="25"/>
  <c r="U22" i="25"/>
  <c r="K22" i="25"/>
  <c r="S22" i="25"/>
  <c r="I22" i="25"/>
  <c r="M36" i="25"/>
  <c r="F55" i="25"/>
  <c r="E11" i="25"/>
  <c r="W18" i="25"/>
  <c r="O18" i="25"/>
  <c r="G18" i="25"/>
  <c r="S18" i="25"/>
  <c r="I18" i="25"/>
  <c r="Q18" i="25"/>
  <c r="E18" i="25"/>
  <c r="K21" i="25"/>
  <c r="E22" i="25"/>
  <c r="J23" i="25"/>
  <c r="Y25" i="25"/>
  <c r="E24" i="25"/>
  <c r="M24" i="25"/>
  <c r="U24" i="25"/>
  <c r="X30" i="25"/>
  <c r="W34" i="25"/>
  <c r="O34" i="25"/>
  <c r="G34" i="25"/>
  <c r="U34" i="25"/>
  <c r="K34" i="25"/>
  <c r="S34" i="25"/>
  <c r="I34" i="25"/>
  <c r="U35" i="25"/>
  <c r="M35" i="25"/>
  <c r="E35" i="25"/>
  <c r="S35" i="25"/>
  <c r="I35" i="25"/>
  <c r="Q35" i="25"/>
  <c r="G35" i="25"/>
  <c r="I36" i="25"/>
  <c r="AA38" i="25"/>
  <c r="AF17" i="25"/>
  <c r="AJ18" i="25"/>
  <c r="Z24" i="25"/>
  <c r="Q33" i="25"/>
  <c r="I33" i="25"/>
  <c r="M33" i="25"/>
  <c r="W33" i="25"/>
  <c r="AB40" i="25"/>
  <c r="Q19" i="25"/>
  <c r="I19" i="25"/>
  <c r="M19" i="25"/>
  <c r="W19" i="25"/>
  <c r="AJ21" i="25"/>
  <c r="I24" i="25"/>
  <c r="Q24" i="25"/>
  <c r="Y26" i="25"/>
  <c r="Y28" i="25"/>
  <c r="U31" i="25"/>
  <c r="M31" i="25"/>
  <c r="E31" i="25"/>
  <c r="O31" i="25"/>
  <c r="E33" i="25"/>
  <c r="O33" i="25"/>
  <c r="AB33" i="25"/>
  <c r="AA39" i="25"/>
  <c r="K20" i="25"/>
  <c r="K32" i="25"/>
  <c r="S8" i="25" l="1"/>
  <c r="AC15" i="25"/>
  <c r="AI17" i="25"/>
  <c r="Z9" i="25"/>
  <c r="AC39" i="25"/>
  <c r="H7" i="25"/>
  <c r="AF13" i="25" s="1"/>
  <c r="AF25" i="25" s="1"/>
  <c r="Z8" i="25"/>
  <c r="AC25" i="25"/>
  <c r="X9" i="25"/>
  <c r="D7" i="25"/>
  <c r="AF12" i="25" s="1"/>
  <c r="AF24" i="25" s="1"/>
  <c r="E8" i="25"/>
  <c r="X8" i="25"/>
  <c r="I8" i="25"/>
  <c r="O8" i="25"/>
  <c r="K8" i="25"/>
  <c r="M8" i="25"/>
  <c r="G8" i="25"/>
  <c r="Q8" i="25"/>
  <c r="W8" i="25"/>
  <c r="V7" i="25"/>
  <c r="AH16" i="25" s="1"/>
  <c r="AH28" i="25" s="1"/>
  <c r="T7" i="25"/>
  <c r="AF16" i="25" s="1"/>
  <c r="AF28" i="25" s="1"/>
  <c r="AB36" i="25"/>
  <c r="AC40" i="25"/>
  <c r="Z10" i="25"/>
  <c r="AC37" i="25"/>
  <c r="J7" i="25"/>
  <c r="AH13" i="25" s="1"/>
  <c r="AH25" i="25" s="1"/>
  <c r="R7" i="25"/>
  <c r="AH15" i="25" s="1"/>
  <c r="AH27" i="25" s="1"/>
  <c r="Y34" i="25"/>
  <c r="AA20" i="25"/>
  <c r="AA19" i="25"/>
  <c r="AC38" i="25"/>
  <c r="L45" i="25"/>
  <c r="N45" i="25" s="1"/>
  <c r="AC16" i="25"/>
  <c r="AC14" i="25"/>
  <c r="AC41" i="25"/>
  <c r="AG17" i="25"/>
  <c r="L7" i="25"/>
  <c r="AF14" i="25" s="1"/>
  <c r="K30" i="25"/>
  <c r="K23" i="25" s="1"/>
  <c r="AC29" i="25"/>
  <c r="AB11" i="25"/>
  <c r="AA35" i="25"/>
  <c r="AA33" i="25"/>
  <c r="W30" i="25"/>
  <c r="W23" i="25" s="1"/>
  <c r="AA11" i="25"/>
  <c r="AA36" i="25"/>
  <c r="AC28" i="25"/>
  <c r="AA31" i="25"/>
  <c r="AC13" i="25"/>
  <c r="X23" i="25"/>
  <c r="AC27" i="25"/>
  <c r="N7" i="25"/>
  <c r="AH14" i="25" s="1"/>
  <c r="AH26" i="25" s="1"/>
  <c r="Y32" i="25"/>
  <c r="AA24" i="25"/>
  <c r="AC26" i="25"/>
  <c r="P7" i="25"/>
  <c r="AF15" i="25" s="1"/>
  <c r="Y36" i="25"/>
  <c r="AK22" i="25"/>
  <c r="AK17" i="25" s="1"/>
  <c r="AC12" i="25"/>
  <c r="Y35" i="25"/>
  <c r="S30" i="25"/>
  <c r="S23" i="25" s="1"/>
  <c r="Y20" i="25"/>
  <c r="Y21" i="25"/>
  <c r="AB17" i="25"/>
  <c r="Y22" i="25"/>
  <c r="I30" i="25"/>
  <c r="I23" i="25" s="1"/>
  <c r="Q30" i="25"/>
  <c r="Q23" i="25" s="1"/>
  <c r="U30" i="25"/>
  <c r="U23" i="25" s="1"/>
  <c r="Q17" i="25"/>
  <c r="X10" i="25"/>
  <c r="I17" i="25"/>
  <c r="M17" i="25"/>
  <c r="AB30" i="25"/>
  <c r="K17" i="25"/>
  <c r="M30" i="25"/>
  <c r="M23" i="25" s="1"/>
  <c r="AA32" i="25"/>
  <c r="O17" i="25"/>
  <c r="Y19" i="25"/>
  <c r="C8" i="26"/>
  <c r="C44" i="26"/>
  <c r="E37" i="26"/>
  <c r="E36" i="26" s="1"/>
  <c r="E35" i="26" s="1"/>
  <c r="C36" i="26"/>
  <c r="C35" i="26" s="1"/>
  <c r="E8" i="26"/>
  <c r="F56" i="25"/>
  <c r="J55" i="25"/>
  <c r="Y24" i="25"/>
  <c r="AA21" i="25"/>
  <c r="O30" i="25"/>
  <c r="O23" i="25" s="1"/>
  <c r="S17" i="25"/>
  <c r="Y11" i="25"/>
  <c r="AA22" i="25"/>
  <c r="Y33" i="25"/>
  <c r="W17" i="25"/>
  <c r="G30" i="25"/>
  <c r="Y31" i="25"/>
  <c r="E30" i="25"/>
  <c r="AJ17" i="25"/>
  <c r="AA34" i="25"/>
  <c r="Y18" i="25"/>
  <c r="E17" i="25"/>
  <c r="AA18" i="25"/>
  <c r="G17" i="25"/>
  <c r="G9" i="25" s="1"/>
  <c r="U17" i="25"/>
  <c r="G51" i="25"/>
  <c r="I50" i="25"/>
  <c r="G54" i="25"/>
  <c r="I54" i="25" s="1"/>
  <c r="AB24" i="25"/>
  <c r="Z23" i="25"/>
  <c r="AB9" i="25" l="1"/>
  <c r="AB8" i="25"/>
  <c r="AB10" i="25"/>
  <c r="AC21" i="25"/>
  <c r="AA8" i="25"/>
  <c r="AJ12" i="25"/>
  <c r="AJ24" i="25" s="1"/>
  <c r="I10" i="25"/>
  <c r="I7" i="25" s="1"/>
  <c r="AG13" i="25" s="1"/>
  <c r="I9" i="25"/>
  <c r="W10" i="25"/>
  <c r="W7" i="25" s="1"/>
  <c r="AI16" i="25" s="1"/>
  <c r="AI28" i="25" s="1"/>
  <c r="Q10" i="27" s="1"/>
  <c r="Q11" i="27" s="1"/>
  <c r="W9" i="25"/>
  <c r="E10" i="25"/>
  <c r="E9" i="25"/>
  <c r="M10" i="25"/>
  <c r="M7" i="25" s="1"/>
  <c r="AG14" i="25" s="1"/>
  <c r="M9" i="25"/>
  <c r="Q10" i="25"/>
  <c r="Q7" i="25" s="1"/>
  <c r="AG15" i="25" s="1"/>
  <c r="AG27" i="25" s="1"/>
  <c r="M10" i="27" s="1"/>
  <c r="M11" i="27" s="1"/>
  <c r="Q9" i="25"/>
  <c r="U10" i="25"/>
  <c r="U7" i="25" s="1"/>
  <c r="AG16" i="25" s="1"/>
  <c r="U9" i="25"/>
  <c r="S10" i="25"/>
  <c r="S7" i="25" s="1"/>
  <c r="AI15" i="25" s="1"/>
  <c r="AI27" i="25" s="1"/>
  <c r="N10" i="27" s="1"/>
  <c r="N11" i="27" s="1"/>
  <c r="S9" i="25"/>
  <c r="O10" i="25"/>
  <c r="O7" i="25" s="1"/>
  <c r="AI14" i="25" s="1"/>
  <c r="AI26" i="25" s="1"/>
  <c r="K10" i="27" s="1"/>
  <c r="K11" i="27" s="1"/>
  <c r="O9" i="25"/>
  <c r="K10" i="25"/>
  <c r="K9" i="25"/>
  <c r="AJ16" i="25"/>
  <c r="AJ28" i="25" s="1"/>
  <c r="Y8" i="25"/>
  <c r="AJ13" i="25"/>
  <c r="AJ25" i="25" s="1"/>
  <c r="AC34" i="25"/>
  <c r="AJ14" i="25"/>
  <c r="AJ26" i="25" s="1"/>
  <c r="AC24" i="25"/>
  <c r="AC19" i="25"/>
  <c r="AC35" i="25"/>
  <c r="K7" i="25"/>
  <c r="AI13" i="25" s="1"/>
  <c r="AI25" i="25" s="1"/>
  <c r="H10" i="27" s="1"/>
  <c r="H11" i="27" s="1"/>
  <c r="AC20" i="25"/>
  <c r="AF11" i="25"/>
  <c r="AF10" i="25" s="1"/>
  <c r="AC31" i="25"/>
  <c r="AB23" i="25"/>
  <c r="AF26" i="25"/>
  <c r="AC32" i="25"/>
  <c r="AC36" i="25"/>
  <c r="AC33" i="25"/>
  <c r="X7" i="25"/>
  <c r="AF27" i="25"/>
  <c r="AJ15" i="25"/>
  <c r="AJ27" i="25" s="1"/>
  <c r="Z7" i="25"/>
  <c r="AH23" i="25"/>
  <c r="AH11" i="25"/>
  <c r="AH10" i="25" s="1"/>
  <c r="AC11" i="25"/>
  <c r="AC22" i="25"/>
  <c r="G55" i="25"/>
  <c r="G56" i="25" s="1"/>
  <c r="Y30" i="25"/>
  <c r="E6" i="26"/>
  <c r="E5" i="26"/>
  <c r="C5" i="26"/>
  <c r="C6" i="26"/>
  <c r="AA30" i="25"/>
  <c r="G23" i="25"/>
  <c r="AA23" i="25" s="1"/>
  <c r="Y17" i="25"/>
  <c r="AA17" i="25"/>
  <c r="G10" i="25"/>
  <c r="AC18" i="25"/>
  <c r="E23" i="25"/>
  <c r="Y23" i="25" s="1"/>
  <c r="AC8" i="25" l="1"/>
  <c r="AA9" i="25"/>
  <c r="Y9" i="25"/>
  <c r="Y10" i="25"/>
  <c r="AG26" i="25"/>
  <c r="J10" i="27" s="1"/>
  <c r="AK14" i="25"/>
  <c r="AK26" i="25" s="1"/>
  <c r="K55" i="25"/>
  <c r="AF23" i="25"/>
  <c r="AJ23" i="25"/>
  <c r="AB7" i="25"/>
  <c r="AJ11" i="25"/>
  <c r="AJ10" i="25" s="1"/>
  <c r="AC30" i="25"/>
  <c r="AK16" i="25"/>
  <c r="AK28" i="25" s="1"/>
  <c r="AG28" i="25"/>
  <c r="P10" i="27" s="1"/>
  <c r="L10" i="27"/>
  <c r="L11" i="27" s="1"/>
  <c r="AK13" i="25"/>
  <c r="AK25" i="25" s="1"/>
  <c r="AG25" i="25"/>
  <c r="G10" i="27" s="1"/>
  <c r="AK15" i="25"/>
  <c r="AK27" i="25" s="1"/>
  <c r="AC23" i="25"/>
  <c r="AA10" i="25"/>
  <c r="G7" i="25"/>
  <c r="AC17" i="25"/>
  <c r="E7" i="25"/>
  <c r="AC9" i="25" l="1"/>
  <c r="AC10" i="25"/>
  <c r="J11" i="27"/>
  <c r="I10" i="27"/>
  <c r="I11" i="27" s="1"/>
  <c r="F10" i="27"/>
  <c r="F11" i="27" s="1"/>
  <c r="G11" i="27"/>
  <c r="O10" i="27"/>
  <c r="O11" i="27" s="1"/>
  <c r="P11" i="27"/>
  <c r="Y7" i="25"/>
  <c r="AG12" i="25"/>
  <c r="AG24" i="25" s="1"/>
  <c r="AI12" i="25"/>
  <c r="AA7" i="25"/>
  <c r="D10" i="27" l="1"/>
  <c r="AG23" i="25"/>
  <c r="AI11" i="25"/>
  <c r="AI10" i="25" s="1"/>
  <c r="AI24" i="25"/>
  <c r="AG11" i="25"/>
  <c r="AG10" i="25" s="1"/>
  <c r="AK12" i="25"/>
  <c r="AC7" i="25"/>
  <c r="AK11" i="25" l="1"/>
  <c r="AK10" i="25" s="1"/>
  <c r="AK24" i="25"/>
  <c r="AK23" i="25" s="1"/>
  <c r="E10" i="27"/>
  <c r="C10" i="27" s="1"/>
  <c r="AI23" i="25"/>
  <c r="S10" i="27"/>
  <c r="S11" i="27" s="1"/>
  <c r="D11" i="27"/>
  <c r="K530" i="24"/>
  <c r="J530" i="24"/>
  <c r="L530" i="24" s="1"/>
  <c r="K529" i="24"/>
  <c r="J529" i="24"/>
  <c r="L529" i="24" s="1"/>
  <c r="K528" i="24"/>
  <c r="J528" i="24"/>
  <c r="K527" i="24"/>
  <c r="J527" i="24"/>
  <c r="L527" i="24" s="1"/>
  <c r="K526" i="24"/>
  <c r="J526" i="24"/>
  <c r="I525" i="24"/>
  <c r="H525" i="24"/>
  <c r="G525" i="24"/>
  <c r="F525" i="24"/>
  <c r="E525" i="24"/>
  <c r="K524" i="24"/>
  <c r="J524" i="24"/>
  <c r="L524" i="24" s="1"/>
  <c r="K523" i="24"/>
  <c r="K522" i="24" s="1"/>
  <c r="J523" i="24"/>
  <c r="J522" i="24"/>
  <c r="I522" i="24"/>
  <c r="H522" i="24"/>
  <c r="G522" i="24"/>
  <c r="F522" i="24"/>
  <c r="E522" i="24"/>
  <c r="K521" i="24"/>
  <c r="J521" i="24"/>
  <c r="K520" i="24"/>
  <c r="J520" i="24"/>
  <c r="L520" i="24" s="1"/>
  <c r="K519" i="24"/>
  <c r="J519" i="24"/>
  <c r="L519" i="24" s="1"/>
  <c r="K518" i="24"/>
  <c r="J518" i="24"/>
  <c r="K517" i="24"/>
  <c r="J517" i="24"/>
  <c r="L517" i="24" s="1"/>
  <c r="K516" i="24"/>
  <c r="J516" i="24"/>
  <c r="L516" i="24" s="1"/>
  <c r="K515" i="24"/>
  <c r="J515" i="24"/>
  <c r="L515" i="24" s="1"/>
  <c r="K514" i="24"/>
  <c r="J514" i="24"/>
  <c r="K513" i="24"/>
  <c r="J513" i="24"/>
  <c r="K512" i="24"/>
  <c r="J512" i="24"/>
  <c r="K511" i="24"/>
  <c r="J511" i="24"/>
  <c r="L511" i="24" s="1"/>
  <c r="I510" i="24"/>
  <c r="H510" i="24"/>
  <c r="G510" i="24"/>
  <c r="F510" i="24"/>
  <c r="E510" i="24"/>
  <c r="K509" i="24"/>
  <c r="J509" i="24"/>
  <c r="K508" i="24"/>
  <c r="J508" i="24"/>
  <c r="L508" i="24" s="1"/>
  <c r="K507" i="24"/>
  <c r="J507" i="24"/>
  <c r="L507" i="24" s="1"/>
  <c r="K506" i="24"/>
  <c r="J506" i="24"/>
  <c r="L506" i="24" s="1"/>
  <c r="K505" i="24"/>
  <c r="J505" i="24"/>
  <c r="L505" i="24" s="1"/>
  <c r="L504" i="24" s="1"/>
  <c r="K504" i="24"/>
  <c r="J504" i="24"/>
  <c r="I504" i="24"/>
  <c r="H504" i="24"/>
  <c r="G504" i="24"/>
  <c r="F504" i="24"/>
  <c r="E504" i="24"/>
  <c r="K503" i="24"/>
  <c r="J503" i="24"/>
  <c r="L503" i="24" s="1"/>
  <c r="K502" i="24"/>
  <c r="J502" i="24"/>
  <c r="I501" i="24"/>
  <c r="H501" i="24"/>
  <c r="G501" i="24"/>
  <c r="F501" i="24"/>
  <c r="E501" i="24"/>
  <c r="K500" i="24"/>
  <c r="J500" i="24"/>
  <c r="L500" i="24" s="1"/>
  <c r="K499" i="24"/>
  <c r="J499" i="24"/>
  <c r="K498" i="24"/>
  <c r="J498" i="24"/>
  <c r="L498" i="24" s="1"/>
  <c r="K497" i="24"/>
  <c r="J497" i="24"/>
  <c r="L497" i="24" s="1"/>
  <c r="K496" i="24"/>
  <c r="J496" i="24"/>
  <c r="L496" i="24" s="1"/>
  <c r="K495" i="24"/>
  <c r="J495" i="24"/>
  <c r="I494" i="24"/>
  <c r="H494" i="24"/>
  <c r="G494" i="24"/>
  <c r="F494" i="24"/>
  <c r="E494" i="24"/>
  <c r="K493" i="24"/>
  <c r="J493" i="24"/>
  <c r="K492" i="24"/>
  <c r="J492" i="24"/>
  <c r="L492" i="24" s="1"/>
  <c r="K491" i="24"/>
  <c r="J491" i="24"/>
  <c r="L491" i="24" s="1"/>
  <c r="K490" i="24"/>
  <c r="J490" i="24"/>
  <c r="K489" i="24"/>
  <c r="J489" i="24"/>
  <c r="K488" i="24"/>
  <c r="J488" i="24"/>
  <c r="K487" i="24"/>
  <c r="J487" i="24"/>
  <c r="L487" i="24" s="1"/>
  <c r="K486" i="24"/>
  <c r="J486" i="24"/>
  <c r="L486" i="24" s="1"/>
  <c r="K485" i="24"/>
  <c r="J485" i="24"/>
  <c r="L485" i="24" s="1"/>
  <c r="K484" i="24"/>
  <c r="J484" i="24"/>
  <c r="L484" i="24" s="1"/>
  <c r="K483" i="24"/>
  <c r="J483" i="24"/>
  <c r="L483" i="24" s="1"/>
  <c r="K482" i="24"/>
  <c r="J482" i="24"/>
  <c r="K481" i="24"/>
  <c r="J481" i="24"/>
  <c r="K480" i="24"/>
  <c r="J480" i="24"/>
  <c r="K479" i="24"/>
  <c r="J479" i="24"/>
  <c r="L479" i="24" s="1"/>
  <c r="K478" i="24"/>
  <c r="J478" i="24"/>
  <c r="L478" i="24" s="1"/>
  <c r="Q477" i="24"/>
  <c r="I477" i="24"/>
  <c r="H477" i="24"/>
  <c r="G477" i="24"/>
  <c r="F477" i="24"/>
  <c r="E477" i="24"/>
  <c r="K474" i="24"/>
  <c r="J474" i="24"/>
  <c r="K473" i="24"/>
  <c r="J473" i="24"/>
  <c r="K472" i="24"/>
  <c r="J472" i="24"/>
  <c r="K471" i="24"/>
  <c r="J471" i="24"/>
  <c r="L471" i="24" s="1"/>
  <c r="K470" i="24"/>
  <c r="J470" i="24"/>
  <c r="K469" i="24"/>
  <c r="J469" i="24"/>
  <c r="F468" i="24"/>
  <c r="E468" i="24"/>
  <c r="J468" i="24" s="1"/>
  <c r="L468" i="24" s="1"/>
  <c r="K467" i="24"/>
  <c r="J467" i="24"/>
  <c r="L467" i="24" s="1"/>
  <c r="K466" i="24"/>
  <c r="J466" i="24"/>
  <c r="K465" i="24"/>
  <c r="L465" i="24" s="1"/>
  <c r="J465" i="24"/>
  <c r="K464" i="24"/>
  <c r="J464" i="24"/>
  <c r="K463" i="24"/>
  <c r="J463" i="24"/>
  <c r="L463" i="24" s="1"/>
  <c r="K462" i="24"/>
  <c r="J462" i="24"/>
  <c r="L462" i="24" s="1"/>
  <c r="K461" i="24"/>
  <c r="J461" i="24"/>
  <c r="K460" i="24"/>
  <c r="J460" i="24"/>
  <c r="L460" i="24" s="1"/>
  <c r="K459" i="24"/>
  <c r="J459" i="24"/>
  <c r="L459" i="24" s="1"/>
  <c r="K458" i="24"/>
  <c r="L458" i="24" s="1"/>
  <c r="J458" i="24"/>
  <c r="K457" i="24"/>
  <c r="J457" i="24"/>
  <c r="K456" i="24"/>
  <c r="J456" i="24"/>
  <c r="K455" i="24"/>
  <c r="J455" i="24"/>
  <c r="L455" i="24" s="1"/>
  <c r="K454" i="24"/>
  <c r="J454" i="24"/>
  <c r="L454" i="24" s="1"/>
  <c r="K453" i="24"/>
  <c r="J453" i="24"/>
  <c r="K452" i="24"/>
  <c r="J452" i="24"/>
  <c r="L452" i="24" s="1"/>
  <c r="K451" i="24"/>
  <c r="J451" i="24"/>
  <c r="L451" i="24" s="1"/>
  <c r="K450" i="24"/>
  <c r="J450" i="24"/>
  <c r="K449" i="24"/>
  <c r="J449" i="24"/>
  <c r="K448" i="24"/>
  <c r="J448" i="24"/>
  <c r="K447" i="24"/>
  <c r="J447" i="24"/>
  <c r="K446" i="24"/>
  <c r="J446" i="24"/>
  <c r="L446" i="24" s="1"/>
  <c r="Q445" i="24"/>
  <c r="I445" i="24"/>
  <c r="H445" i="24"/>
  <c r="G445" i="24"/>
  <c r="F445" i="24"/>
  <c r="E445" i="24"/>
  <c r="K444" i="24"/>
  <c r="J444" i="24"/>
  <c r="K443" i="24"/>
  <c r="J443" i="24"/>
  <c r="K442" i="24"/>
  <c r="J442" i="24"/>
  <c r="K441" i="24"/>
  <c r="J441" i="24"/>
  <c r="L441" i="24" s="1"/>
  <c r="K440" i="24"/>
  <c r="J440" i="24"/>
  <c r="L440" i="24" s="1"/>
  <c r="K439" i="24"/>
  <c r="J439" i="24"/>
  <c r="K438" i="24"/>
  <c r="J438" i="24"/>
  <c r="L438" i="24" s="1"/>
  <c r="Q437" i="24"/>
  <c r="L437" i="24"/>
  <c r="K437" i="24"/>
  <c r="J437" i="24"/>
  <c r="I437" i="24"/>
  <c r="H437" i="24"/>
  <c r="G437" i="24"/>
  <c r="F437" i="24"/>
  <c r="E437" i="24"/>
  <c r="K436" i="24"/>
  <c r="J436" i="24"/>
  <c r="L436" i="24" s="1"/>
  <c r="K435" i="24"/>
  <c r="J435" i="24"/>
  <c r="L435" i="24" s="1"/>
  <c r="K434" i="24"/>
  <c r="J434" i="24"/>
  <c r="L434" i="24" s="1"/>
  <c r="K433" i="24"/>
  <c r="J433" i="24"/>
  <c r="L433" i="24" s="1"/>
  <c r="I432" i="24"/>
  <c r="H432" i="24"/>
  <c r="G432" i="24"/>
  <c r="F432" i="24"/>
  <c r="E432" i="24"/>
  <c r="K431" i="24"/>
  <c r="J431" i="24"/>
  <c r="K430" i="24"/>
  <c r="J430" i="24"/>
  <c r="L430" i="24" s="1"/>
  <c r="K429" i="24"/>
  <c r="J429" i="24"/>
  <c r="L429" i="24" s="1"/>
  <c r="K428" i="24"/>
  <c r="J428" i="24"/>
  <c r="K427" i="24"/>
  <c r="J427" i="24"/>
  <c r="K426" i="24"/>
  <c r="J426" i="24"/>
  <c r="L426" i="24" s="1"/>
  <c r="K425" i="24"/>
  <c r="J425" i="24"/>
  <c r="K424" i="24"/>
  <c r="J424" i="24"/>
  <c r="I423" i="24"/>
  <c r="H423" i="24"/>
  <c r="G423" i="24"/>
  <c r="F423" i="24"/>
  <c r="E423" i="24"/>
  <c r="K422" i="24"/>
  <c r="J422" i="24"/>
  <c r="L422" i="24" s="1"/>
  <c r="K421" i="24"/>
  <c r="J421" i="24"/>
  <c r="L421" i="24" s="1"/>
  <c r="K420" i="24"/>
  <c r="J420" i="24"/>
  <c r="L420" i="24" s="1"/>
  <c r="K419" i="24"/>
  <c r="J419" i="24"/>
  <c r="K418" i="24"/>
  <c r="J418" i="24"/>
  <c r="K417" i="24"/>
  <c r="J417" i="24"/>
  <c r="I416" i="24"/>
  <c r="H416" i="24"/>
  <c r="G416" i="24"/>
  <c r="F416" i="24"/>
  <c r="E416" i="24"/>
  <c r="K415" i="24"/>
  <c r="J415" i="24"/>
  <c r="L415" i="24" s="1"/>
  <c r="K414" i="24"/>
  <c r="J414" i="24"/>
  <c r="L414" i="24" s="1"/>
  <c r="K413" i="24"/>
  <c r="J413" i="24"/>
  <c r="L413" i="24" s="1"/>
  <c r="K412" i="24"/>
  <c r="J412" i="24"/>
  <c r="K411" i="24"/>
  <c r="J411" i="24"/>
  <c r="L411" i="24" s="1"/>
  <c r="I410" i="24"/>
  <c r="H410" i="24"/>
  <c r="G410" i="24"/>
  <c r="F410" i="24"/>
  <c r="E410" i="24"/>
  <c r="K409" i="24"/>
  <c r="J409" i="24"/>
  <c r="K408" i="24"/>
  <c r="J408" i="24"/>
  <c r="K407" i="24"/>
  <c r="J407" i="24"/>
  <c r="L407" i="24" s="1"/>
  <c r="K406" i="24"/>
  <c r="J406" i="24"/>
  <c r="K405" i="24"/>
  <c r="J405" i="24"/>
  <c r="K404" i="24"/>
  <c r="J404" i="24"/>
  <c r="L404" i="24" s="1"/>
  <c r="K403" i="24"/>
  <c r="J403" i="24"/>
  <c r="L403" i="24" s="1"/>
  <c r="K402" i="24"/>
  <c r="J402" i="24"/>
  <c r="L402" i="24" s="1"/>
  <c r="K401" i="24"/>
  <c r="J401" i="24"/>
  <c r="K400" i="24"/>
  <c r="J400" i="24"/>
  <c r="K399" i="24"/>
  <c r="J399" i="24"/>
  <c r="K398" i="24"/>
  <c r="J398" i="24"/>
  <c r="K397" i="24"/>
  <c r="J397" i="24"/>
  <c r="K396" i="24"/>
  <c r="J396" i="24"/>
  <c r="L396" i="24" s="1"/>
  <c r="I395" i="24"/>
  <c r="H395" i="24"/>
  <c r="G395" i="24"/>
  <c r="F395" i="24"/>
  <c r="E395" i="24"/>
  <c r="K392" i="24"/>
  <c r="J392" i="24"/>
  <c r="K391" i="24"/>
  <c r="J391" i="24"/>
  <c r="L391" i="24" s="1"/>
  <c r="K390" i="24"/>
  <c r="J390" i="24"/>
  <c r="K389" i="24"/>
  <c r="J389" i="24"/>
  <c r="L389" i="24" s="1"/>
  <c r="K388" i="24"/>
  <c r="J388" i="24"/>
  <c r="L388" i="24" s="1"/>
  <c r="K387" i="24"/>
  <c r="J387" i="24"/>
  <c r="L387" i="24" s="1"/>
  <c r="K386" i="24"/>
  <c r="J386" i="24"/>
  <c r="K385" i="24"/>
  <c r="J385" i="24"/>
  <c r="K384" i="24"/>
  <c r="J384" i="24"/>
  <c r="L384" i="24" s="1"/>
  <c r="K383" i="24"/>
  <c r="J383" i="24"/>
  <c r="L383" i="24" s="1"/>
  <c r="R382" i="24"/>
  <c r="Q382" i="24"/>
  <c r="I382" i="24"/>
  <c r="H382" i="24"/>
  <c r="G382" i="24"/>
  <c r="F382" i="24"/>
  <c r="E382" i="24"/>
  <c r="K381" i="24"/>
  <c r="J381" i="24"/>
  <c r="L381" i="24" s="1"/>
  <c r="K380" i="24"/>
  <c r="J380" i="24"/>
  <c r="L380" i="24" s="1"/>
  <c r="K379" i="24"/>
  <c r="J379" i="24"/>
  <c r="L379" i="24" s="1"/>
  <c r="K378" i="24"/>
  <c r="J378" i="24"/>
  <c r="L378" i="24" s="1"/>
  <c r="K377" i="24"/>
  <c r="J377" i="24"/>
  <c r="L377" i="24" s="1"/>
  <c r="K376" i="24"/>
  <c r="J376" i="24"/>
  <c r="L376" i="24" s="1"/>
  <c r="K375" i="24"/>
  <c r="J375" i="24"/>
  <c r="K374" i="24"/>
  <c r="J374" i="24"/>
  <c r="L374" i="24" s="1"/>
  <c r="K373" i="24"/>
  <c r="J373" i="24"/>
  <c r="K372" i="24"/>
  <c r="J372" i="24"/>
  <c r="L372" i="24" s="1"/>
  <c r="R371" i="24"/>
  <c r="Q371" i="24"/>
  <c r="I371" i="24"/>
  <c r="H371" i="24"/>
  <c r="G371" i="24"/>
  <c r="F371" i="24"/>
  <c r="E371" i="24"/>
  <c r="K370" i="24"/>
  <c r="J370" i="24"/>
  <c r="L370" i="24" s="1"/>
  <c r="K369" i="24"/>
  <c r="J369" i="24"/>
  <c r="K368" i="24"/>
  <c r="J368" i="24"/>
  <c r="L368" i="24" s="1"/>
  <c r="K367" i="24"/>
  <c r="J367" i="24"/>
  <c r="K366" i="24"/>
  <c r="J366" i="24"/>
  <c r="L366" i="24" s="1"/>
  <c r="K365" i="24"/>
  <c r="J365" i="24"/>
  <c r="L365" i="24" s="1"/>
  <c r="K364" i="24"/>
  <c r="J364" i="24"/>
  <c r="K363" i="24"/>
  <c r="J363" i="24"/>
  <c r="K362" i="24"/>
  <c r="J362" i="24"/>
  <c r="K361" i="24"/>
  <c r="J361" i="24"/>
  <c r="L361" i="24" s="1"/>
  <c r="R360" i="24"/>
  <c r="Q360" i="24"/>
  <c r="I360" i="24"/>
  <c r="H360" i="24"/>
  <c r="H14" i="24" s="1"/>
  <c r="G360" i="24"/>
  <c r="G14" i="24" s="1"/>
  <c r="F360" i="24"/>
  <c r="F14" i="24" s="1"/>
  <c r="E360" i="24"/>
  <c r="K359" i="24"/>
  <c r="J359" i="24"/>
  <c r="L359" i="24" s="1"/>
  <c r="K358" i="24"/>
  <c r="J358" i="24"/>
  <c r="K357" i="24"/>
  <c r="J357" i="24"/>
  <c r="K356" i="24"/>
  <c r="J356" i="24"/>
  <c r="L356" i="24" s="1"/>
  <c r="K355" i="24"/>
  <c r="J355" i="24"/>
  <c r="L355" i="24" s="1"/>
  <c r="K354" i="24"/>
  <c r="J354" i="24"/>
  <c r="L354" i="24" s="1"/>
  <c r="K353" i="24"/>
  <c r="J353" i="24"/>
  <c r="L353" i="24" s="1"/>
  <c r="K352" i="24"/>
  <c r="J352" i="24"/>
  <c r="L352" i="24" s="1"/>
  <c r="K351" i="24"/>
  <c r="J351" i="24"/>
  <c r="K350" i="24"/>
  <c r="J350" i="24"/>
  <c r="L350" i="24" s="1"/>
  <c r="R349" i="24"/>
  <c r="Q349" i="24"/>
  <c r="I349" i="24"/>
  <c r="H349" i="24"/>
  <c r="G349" i="24"/>
  <c r="F349" i="24"/>
  <c r="E349" i="24"/>
  <c r="K348" i="24"/>
  <c r="J348" i="24"/>
  <c r="L348" i="24" s="1"/>
  <c r="K347" i="24"/>
  <c r="J347" i="24"/>
  <c r="K346" i="24"/>
  <c r="J346" i="24"/>
  <c r="K345" i="24"/>
  <c r="J345" i="24"/>
  <c r="L345" i="24" s="1"/>
  <c r="K344" i="24"/>
  <c r="J344" i="24"/>
  <c r="K343" i="24"/>
  <c r="J343" i="24"/>
  <c r="L343" i="24" s="1"/>
  <c r="K342" i="24"/>
  <c r="J342" i="24"/>
  <c r="K341" i="24"/>
  <c r="J341" i="24"/>
  <c r="K340" i="24"/>
  <c r="J340" i="24"/>
  <c r="L340" i="24" s="1"/>
  <c r="K339" i="24"/>
  <c r="J339" i="24"/>
  <c r="L339" i="24" s="1"/>
  <c r="R338" i="24"/>
  <c r="Q338" i="24"/>
  <c r="I338" i="24"/>
  <c r="H338" i="24"/>
  <c r="G338" i="24"/>
  <c r="F338" i="24"/>
  <c r="E338" i="24"/>
  <c r="K337" i="24"/>
  <c r="J337" i="24"/>
  <c r="L337" i="24" s="1"/>
  <c r="K336" i="24"/>
  <c r="J336" i="24"/>
  <c r="L336" i="24" s="1"/>
  <c r="K335" i="24"/>
  <c r="J335" i="24"/>
  <c r="L335" i="24" s="1"/>
  <c r="K334" i="24"/>
  <c r="K333" i="24" s="1"/>
  <c r="J334" i="24"/>
  <c r="I333" i="24"/>
  <c r="H333" i="24"/>
  <c r="G333" i="24"/>
  <c r="F333" i="24"/>
  <c r="E333" i="24"/>
  <c r="K332" i="24"/>
  <c r="J332" i="24"/>
  <c r="K331" i="24"/>
  <c r="J331" i="24"/>
  <c r="K330" i="24"/>
  <c r="J330" i="24"/>
  <c r="L330" i="24" s="1"/>
  <c r="I329" i="24"/>
  <c r="H329" i="24"/>
  <c r="G329" i="24"/>
  <c r="F329" i="24"/>
  <c r="E329" i="24"/>
  <c r="E16" i="24" s="1"/>
  <c r="K328" i="24"/>
  <c r="J328" i="24"/>
  <c r="L328" i="24" s="1"/>
  <c r="K327" i="24"/>
  <c r="J327" i="24"/>
  <c r="K326" i="24"/>
  <c r="K325" i="24" s="1"/>
  <c r="J326" i="24"/>
  <c r="I325" i="24"/>
  <c r="H325" i="24"/>
  <c r="G325" i="24"/>
  <c r="F325" i="24"/>
  <c r="E325" i="24"/>
  <c r="K324" i="24"/>
  <c r="J324" i="24"/>
  <c r="L324" i="24" s="1"/>
  <c r="K323" i="24"/>
  <c r="J323" i="24"/>
  <c r="L323" i="24" s="1"/>
  <c r="K322" i="24"/>
  <c r="J322" i="24"/>
  <c r="K321" i="24"/>
  <c r="J321" i="24"/>
  <c r="L321" i="24" s="1"/>
  <c r="K320" i="24"/>
  <c r="I320" i="24"/>
  <c r="H320" i="24"/>
  <c r="G320" i="24"/>
  <c r="F320" i="24"/>
  <c r="E320" i="24"/>
  <c r="K319" i="24"/>
  <c r="J319" i="24"/>
  <c r="K318" i="24"/>
  <c r="J318" i="24"/>
  <c r="G318" i="24"/>
  <c r="K317" i="24"/>
  <c r="J317" i="24"/>
  <c r="L317" i="24" s="1"/>
  <c r="G317" i="24"/>
  <c r="K316" i="24"/>
  <c r="J316" i="24"/>
  <c r="G316" i="24"/>
  <c r="K315" i="24"/>
  <c r="J315" i="24"/>
  <c r="L315" i="24" s="1"/>
  <c r="G315" i="24"/>
  <c r="K314" i="24"/>
  <c r="J314" i="24"/>
  <c r="G314" i="24"/>
  <c r="K313" i="24"/>
  <c r="J313" i="24"/>
  <c r="L313" i="24" s="1"/>
  <c r="G313" i="24"/>
  <c r="K312" i="24"/>
  <c r="J312" i="24"/>
  <c r="G312" i="24"/>
  <c r="K311" i="24"/>
  <c r="J311" i="24"/>
  <c r="G311" i="24"/>
  <c r="R310" i="24"/>
  <c r="Q310" i="24"/>
  <c r="I310" i="24"/>
  <c r="H310" i="24"/>
  <c r="F310" i="24"/>
  <c r="E310" i="24"/>
  <c r="K309" i="24"/>
  <c r="J309" i="24"/>
  <c r="L309" i="24" s="1"/>
  <c r="K308" i="24"/>
  <c r="J308" i="24"/>
  <c r="K307" i="24"/>
  <c r="J307" i="24"/>
  <c r="L307" i="24" s="1"/>
  <c r="K306" i="24"/>
  <c r="J306" i="24"/>
  <c r="L306" i="24" s="1"/>
  <c r="K305" i="24"/>
  <c r="J305" i="24"/>
  <c r="L305" i="24" s="1"/>
  <c r="K304" i="24"/>
  <c r="J304" i="24"/>
  <c r="L304" i="24" s="1"/>
  <c r="K303" i="24"/>
  <c r="J303" i="24"/>
  <c r="K302" i="24"/>
  <c r="J302" i="24"/>
  <c r="L302" i="24" s="1"/>
  <c r="K301" i="24"/>
  <c r="J301" i="24"/>
  <c r="L301" i="24" s="1"/>
  <c r="K300" i="24"/>
  <c r="J300" i="24"/>
  <c r="K299" i="24"/>
  <c r="J299" i="24"/>
  <c r="L299" i="24" s="1"/>
  <c r="K298" i="24"/>
  <c r="J298" i="24"/>
  <c r="K297" i="24"/>
  <c r="J297" i="24"/>
  <c r="L297" i="24" s="1"/>
  <c r="K296" i="24"/>
  <c r="J296" i="24"/>
  <c r="L296" i="24" s="1"/>
  <c r="K295" i="24"/>
  <c r="J295" i="24"/>
  <c r="K294" i="24"/>
  <c r="J294" i="24"/>
  <c r="L294" i="24" s="1"/>
  <c r="K293" i="24"/>
  <c r="J293" i="24"/>
  <c r="L293" i="24" s="1"/>
  <c r="K292" i="24"/>
  <c r="J292" i="24"/>
  <c r="K291" i="24"/>
  <c r="J291" i="24"/>
  <c r="L291" i="24" s="1"/>
  <c r="K290" i="24"/>
  <c r="J290" i="24"/>
  <c r="L290" i="24" s="1"/>
  <c r="K289" i="24"/>
  <c r="J289" i="24"/>
  <c r="L289" i="24" s="1"/>
  <c r="K288" i="24"/>
  <c r="J288" i="24"/>
  <c r="L288" i="24" s="1"/>
  <c r="K287" i="24"/>
  <c r="J287" i="24"/>
  <c r="K286" i="24"/>
  <c r="J286" i="24"/>
  <c r="L286" i="24" s="1"/>
  <c r="K285" i="24"/>
  <c r="J285" i="24"/>
  <c r="L285" i="24" s="1"/>
  <c r="K284" i="24"/>
  <c r="J284" i="24"/>
  <c r="K283" i="24"/>
  <c r="J283" i="24"/>
  <c r="L283" i="24" s="1"/>
  <c r="K282" i="24"/>
  <c r="J282" i="24"/>
  <c r="L282" i="24" s="1"/>
  <c r="K281" i="24"/>
  <c r="J281" i="24"/>
  <c r="K280" i="24"/>
  <c r="J280" i="24"/>
  <c r="L280" i="24" s="1"/>
  <c r="K279" i="24"/>
  <c r="J279" i="24"/>
  <c r="Q278" i="24"/>
  <c r="K278" i="24"/>
  <c r="J278" i="24"/>
  <c r="L278" i="24" s="1"/>
  <c r="K277" i="24"/>
  <c r="J277" i="24"/>
  <c r="L277" i="24" s="1"/>
  <c r="K276" i="24"/>
  <c r="J276" i="24"/>
  <c r="L276" i="24" s="1"/>
  <c r="K275" i="24"/>
  <c r="J275" i="24"/>
  <c r="K274" i="24"/>
  <c r="J274" i="24"/>
  <c r="K273" i="24"/>
  <c r="J273" i="24"/>
  <c r="L273" i="24" s="1"/>
  <c r="K272" i="24"/>
  <c r="J272" i="24"/>
  <c r="K271" i="24"/>
  <c r="J271" i="24"/>
  <c r="L271" i="24" s="1"/>
  <c r="K270" i="24"/>
  <c r="J270" i="24"/>
  <c r="L270" i="24" s="1"/>
  <c r="K269" i="24"/>
  <c r="J269" i="24"/>
  <c r="L269" i="24" s="1"/>
  <c r="K268" i="24"/>
  <c r="J268" i="24"/>
  <c r="L268" i="24" s="1"/>
  <c r="K267" i="24"/>
  <c r="J267" i="24"/>
  <c r="K266" i="24"/>
  <c r="J266" i="24"/>
  <c r="L266" i="24" s="1"/>
  <c r="K265" i="24"/>
  <c r="J265" i="24"/>
  <c r="K264" i="24"/>
  <c r="J264" i="24"/>
  <c r="L264" i="24" s="1"/>
  <c r="K263" i="24"/>
  <c r="J263" i="24"/>
  <c r="L263" i="24" s="1"/>
  <c r="K262" i="24"/>
  <c r="K261" i="24" s="1"/>
  <c r="J262" i="24"/>
  <c r="I261" i="24"/>
  <c r="H261" i="24"/>
  <c r="G261" i="24"/>
  <c r="F261" i="24"/>
  <c r="E261" i="24"/>
  <c r="K260" i="24"/>
  <c r="K259" i="24" s="1"/>
  <c r="K257" i="24" s="1"/>
  <c r="J260" i="24"/>
  <c r="I259" i="24"/>
  <c r="H259" i="24"/>
  <c r="G259" i="24"/>
  <c r="F259" i="24"/>
  <c r="E259" i="24"/>
  <c r="K256" i="24"/>
  <c r="J256" i="24"/>
  <c r="L256" i="24" s="1"/>
  <c r="K253" i="24"/>
  <c r="J253" i="24"/>
  <c r="L253" i="24" s="1"/>
  <c r="K252" i="24"/>
  <c r="J252" i="24"/>
  <c r="L252" i="24" s="1"/>
  <c r="R251" i="24"/>
  <c r="K250" i="24"/>
  <c r="J250" i="24"/>
  <c r="L250" i="24" s="1"/>
  <c r="K249" i="24"/>
  <c r="J249" i="24"/>
  <c r="K244" i="24"/>
  <c r="J244" i="24"/>
  <c r="K243" i="24"/>
  <c r="J243" i="24"/>
  <c r="K242" i="24"/>
  <c r="J242" i="24"/>
  <c r="L242" i="24" s="1"/>
  <c r="K241" i="24"/>
  <c r="J241" i="24"/>
  <c r="L241" i="24" s="1"/>
  <c r="K240" i="24"/>
  <c r="J240" i="24"/>
  <c r="L240" i="24" s="1"/>
  <c r="K239" i="24"/>
  <c r="J239" i="24"/>
  <c r="L239" i="24" s="1"/>
  <c r="K238" i="24"/>
  <c r="J238" i="24"/>
  <c r="K237" i="24"/>
  <c r="J237" i="24"/>
  <c r="L237" i="24" s="1"/>
  <c r="K236" i="24"/>
  <c r="J236" i="24"/>
  <c r="K235" i="24"/>
  <c r="J235" i="24"/>
  <c r="K234" i="24"/>
  <c r="J234" i="24"/>
  <c r="L234" i="24" s="1"/>
  <c r="K233" i="24"/>
  <c r="J233" i="24"/>
  <c r="L233" i="24" s="1"/>
  <c r="K232" i="24"/>
  <c r="J232" i="24"/>
  <c r="L232" i="24" s="1"/>
  <c r="K231" i="24"/>
  <c r="J231" i="24"/>
  <c r="L231" i="24" s="1"/>
  <c r="K230" i="24"/>
  <c r="J230" i="24"/>
  <c r="K229" i="24"/>
  <c r="J229" i="24"/>
  <c r="L229" i="24" s="1"/>
  <c r="K228" i="24"/>
  <c r="J228" i="24"/>
  <c r="K227" i="24"/>
  <c r="J227" i="24"/>
  <c r="L227" i="24" s="1"/>
  <c r="K226" i="24"/>
  <c r="J226" i="24"/>
  <c r="K225" i="24"/>
  <c r="J225" i="24"/>
  <c r="L225" i="24" s="1"/>
  <c r="K224" i="24"/>
  <c r="J224" i="24"/>
  <c r="K223" i="24"/>
  <c r="J223" i="24"/>
  <c r="L223" i="24" s="1"/>
  <c r="K222" i="24"/>
  <c r="J222" i="24"/>
  <c r="K221" i="24"/>
  <c r="J221" i="24"/>
  <c r="L221" i="24" s="1"/>
  <c r="K220" i="24"/>
  <c r="J220" i="24"/>
  <c r="L220" i="24" s="1"/>
  <c r="K219" i="24"/>
  <c r="J219" i="24"/>
  <c r="L219" i="24" s="1"/>
  <c r="K218" i="24"/>
  <c r="J218" i="24"/>
  <c r="K217" i="24"/>
  <c r="J217" i="24"/>
  <c r="K216" i="24"/>
  <c r="J216" i="24"/>
  <c r="L216" i="24" s="1"/>
  <c r="K215" i="24"/>
  <c r="J215" i="24"/>
  <c r="L215" i="24" s="1"/>
  <c r="K214" i="24"/>
  <c r="J214" i="24"/>
  <c r="K213" i="24"/>
  <c r="J213" i="24"/>
  <c r="L213" i="24" s="1"/>
  <c r="K212" i="24"/>
  <c r="J212" i="24"/>
  <c r="L212" i="24" s="1"/>
  <c r="K211" i="24"/>
  <c r="J211" i="24"/>
  <c r="L211" i="24" s="1"/>
  <c r="K210" i="24"/>
  <c r="J210" i="24"/>
  <c r="K209" i="24"/>
  <c r="J209" i="24"/>
  <c r="L209" i="24" s="1"/>
  <c r="K208" i="24"/>
  <c r="J208" i="24"/>
  <c r="L208" i="24" s="1"/>
  <c r="K207" i="24"/>
  <c r="J207" i="24"/>
  <c r="L207" i="24" s="1"/>
  <c r="K206" i="24"/>
  <c r="J206" i="24"/>
  <c r="K205" i="24"/>
  <c r="J205" i="24"/>
  <c r="L205" i="24" s="1"/>
  <c r="K204" i="24"/>
  <c r="J204" i="24"/>
  <c r="L204" i="24" s="1"/>
  <c r="K203" i="24"/>
  <c r="J203" i="24"/>
  <c r="K202" i="24"/>
  <c r="J202" i="24"/>
  <c r="L202" i="24" s="1"/>
  <c r="K201" i="24"/>
  <c r="J201" i="24"/>
  <c r="L201" i="24" s="1"/>
  <c r="K200" i="24"/>
  <c r="J200" i="24"/>
  <c r="L200" i="24" s="1"/>
  <c r="K199" i="24"/>
  <c r="J199" i="24"/>
  <c r="L199" i="24" s="1"/>
  <c r="K198" i="24"/>
  <c r="J198" i="24"/>
  <c r="K197" i="24"/>
  <c r="J197" i="24"/>
  <c r="L197" i="24" s="1"/>
  <c r="K196" i="24"/>
  <c r="J196" i="24"/>
  <c r="L196" i="24" s="1"/>
  <c r="K195" i="24"/>
  <c r="J195" i="24"/>
  <c r="L195" i="24" s="1"/>
  <c r="K194" i="24"/>
  <c r="J194" i="24"/>
  <c r="L194" i="24" s="1"/>
  <c r="K193" i="24"/>
  <c r="J193" i="24"/>
  <c r="L193" i="24" s="1"/>
  <c r="K192" i="24"/>
  <c r="J192" i="24"/>
  <c r="L192" i="24" s="1"/>
  <c r="K191" i="24"/>
  <c r="J191" i="24"/>
  <c r="L191" i="24" s="1"/>
  <c r="K190" i="24"/>
  <c r="J190" i="24"/>
  <c r="K189" i="24"/>
  <c r="J189" i="24"/>
  <c r="L189" i="24" s="1"/>
  <c r="K188" i="24"/>
  <c r="J188" i="24"/>
  <c r="L188" i="24" s="1"/>
  <c r="K187" i="24"/>
  <c r="J187" i="24"/>
  <c r="L187" i="24" s="1"/>
  <c r="K186" i="24"/>
  <c r="J186" i="24"/>
  <c r="K185" i="24"/>
  <c r="J185" i="24"/>
  <c r="L185" i="24" s="1"/>
  <c r="K184" i="24"/>
  <c r="J184" i="24"/>
  <c r="L184" i="24" s="1"/>
  <c r="K183" i="24"/>
  <c r="J183" i="24"/>
  <c r="L183" i="24" s="1"/>
  <c r="K182" i="24"/>
  <c r="J182" i="24"/>
  <c r="K181" i="24"/>
  <c r="J181" i="24"/>
  <c r="L181" i="24" s="1"/>
  <c r="K180" i="24"/>
  <c r="J180" i="24"/>
  <c r="L180" i="24" s="1"/>
  <c r="K179" i="24"/>
  <c r="J179" i="24"/>
  <c r="L179" i="24" s="1"/>
  <c r="K178" i="24"/>
  <c r="J178" i="24"/>
  <c r="K177" i="24"/>
  <c r="J177" i="24"/>
  <c r="L177" i="24" s="1"/>
  <c r="K176" i="24"/>
  <c r="J176" i="24"/>
  <c r="L176" i="24" s="1"/>
  <c r="K175" i="24"/>
  <c r="J175" i="24"/>
  <c r="K174" i="24"/>
  <c r="J174" i="24"/>
  <c r="K173" i="24"/>
  <c r="J173" i="24"/>
  <c r="L173" i="24" s="1"/>
  <c r="K172" i="24"/>
  <c r="J172" i="24"/>
  <c r="L172" i="24" s="1"/>
  <c r="K171" i="24"/>
  <c r="J171" i="24"/>
  <c r="L171" i="24" s="1"/>
  <c r="K170" i="24"/>
  <c r="J170" i="24"/>
  <c r="K169" i="24"/>
  <c r="J169" i="24"/>
  <c r="L169" i="24" s="1"/>
  <c r="K168" i="24"/>
  <c r="J168" i="24"/>
  <c r="L168" i="24" s="1"/>
  <c r="K167" i="24"/>
  <c r="J167" i="24"/>
  <c r="L167" i="24" s="1"/>
  <c r="K163" i="24"/>
  <c r="J163" i="24"/>
  <c r="L163" i="24" s="1"/>
  <c r="K161" i="24"/>
  <c r="J161" i="24"/>
  <c r="L161" i="24" s="1"/>
  <c r="K157" i="24"/>
  <c r="J157" i="24"/>
  <c r="L157" i="24" s="1"/>
  <c r="K156" i="24"/>
  <c r="J156" i="24"/>
  <c r="L156" i="24" s="1"/>
  <c r="K152" i="24"/>
  <c r="J152" i="24"/>
  <c r="K151" i="24"/>
  <c r="J151" i="24"/>
  <c r="L151" i="24" s="1"/>
  <c r="K150" i="24"/>
  <c r="J150" i="24"/>
  <c r="K149" i="24"/>
  <c r="J149" i="24"/>
  <c r="L149" i="24" s="1"/>
  <c r="K148" i="24"/>
  <c r="J148" i="24"/>
  <c r="K145" i="24"/>
  <c r="J145" i="24"/>
  <c r="L145" i="24" s="1"/>
  <c r="K144" i="24"/>
  <c r="J144" i="24"/>
  <c r="L144" i="24" s="1"/>
  <c r="K143" i="24"/>
  <c r="J143" i="24"/>
  <c r="L143" i="24" s="1"/>
  <c r="K142" i="24"/>
  <c r="J142" i="24"/>
  <c r="K141" i="24"/>
  <c r="J141" i="24"/>
  <c r="L141" i="24" s="1"/>
  <c r="K140" i="24"/>
  <c r="J140" i="24"/>
  <c r="L140" i="24" s="1"/>
  <c r="K139" i="24"/>
  <c r="J139" i="24"/>
  <c r="L139" i="24" s="1"/>
  <c r="K138" i="24"/>
  <c r="J138" i="24"/>
  <c r="K137" i="24"/>
  <c r="J137" i="24"/>
  <c r="L137" i="24" s="1"/>
  <c r="K136" i="24"/>
  <c r="J136" i="24"/>
  <c r="L136" i="24" s="1"/>
  <c r="K135" i="24"/>
  <c r="J135" i="24"/>
  <c r="K134" i="24"/>
  <c r="J134" i="24"/>
  <c r="K133" i="24"/>
  <c r="J133" i="24"/>
  <c r="L133" i="24" s="1"/>
  <c r="K132" i="24"/>
  <c r="J132" i="24"/>
  <c r="L132" i="24" s="1"/>
  <c r="K131" i="24"/>
  <c r="J131" i="24"/>
  <c r="L131" i="24" s="1"/>
  <c r="K130" i="24"/>
  <c r="J130" i="24"/>
  <c r="K129" i="24"/>
  <c r="J129" i="24"/>
  <c r="L129" i="24" s="1"/>
  <c r="K128" i="24"/>
  <c r="J128" i="24"/>
  <c r="L128" i="24" s="1"/>
  <c r="K127" i="24"/>
  <c r="J127" i="24"/>
  <c r="L127" i="24" s="1"/>
  <c r="K126" i="24"/>
  <c r="J126" i="24"/>
  <c r="L126" i="24" s="1"/>
  <c r="K122" i="24"/>
  <c r="J122" i="24"/>
  <c r="L122" i="24" s="1"/>
  <c r="K121" i="24"/>
  <c r="J121" i="24"/>
  <c r="L121" i="24" s="1"/>
  <c r="K120" i="24"/>
  <c r="J120" i="24"/>
  <c r="L120" i="24" s="1"/>
  <c r="K119" i="24"/>
  <c r="J119" i="24"/>
  <c r="K118" i="24"/>
  <c r="J118" i="24"/>
  <c r="L118" i="24" s="1"/>
  <c r="K117" i="24"/>
  <c r="J117" i="24"/>
  <c r="K116" i="24"/>
  <c r="J116" i="24"/>
  <c r="L116" i="24" s="1"/>
  <c r="K115" i="24"/>
  <c r="J115" i="24"/>
  <c r="K114" i="24"/>
  <c r="J114" i="24"/>
  <c r="L114" i="24" s="1"/>
  <c r="K113" i="24"/>
  <c r="J113" i="24"/>
  <c r="L113" i="24" s="1"/>
  <c r="K112" i="24"/>
  <c r="J112" i="24"/>
  <c r="L112" i="24" s="1"/>
  <c r="K111" i="24"/>
  <c r="J111" i="24"/>
  <c r="K110" i="24"/>
  <c r="J110" i="24"/>
  <c r="L110" i="24" s="1"/>
  <c r="K109" i="24"/>
  <c r="J109" i="24"/>
  <c r="L109" i="24" s="1"/>
  <c r="K108" i="24"/>
  <c r="J108" i="24"/>
  <c r="L108" i="24" s="1"/>
  <c r="K107" i="24"/>
  <c r="J107" i="24"/>
  <c r="L107" i="24" s="1"/>
  <c r="K106" i="24"/>
  <c r="J106" i="24"/>
  <c r="L106" i="24" s="1"/>
  <c r="K105" i="24"/>
  <c r="J105" i="24"/>
  <c r="L105" i="24" s="1"/>
  <c r="K104" i="24"/>
  <c r="J104" i="24"/>
  <c r="L104" i="24" s="1"/>
  <c r="K103" i="24"/>
  <c r="J103" i="24"/>
  <c r="K102" i="24"/>
  <c r="J102" i="24"/>
  <c r="L102" i="24" s="1"/>
  <c r="K101" i="24"/>
  <c r="J101" i="24"/>
  <c r="L101" i="24" s="1"/>
  <c r="K100" i="24"/>
  <c r="J100" i="24"/>
  <c r="L100" i="24" s="1"/>
  <c r="K99" i="24"/>
  <c r="J99" i="24"/>
  <c r="K95" i="24"/>
  <c r="J95" i="24"/>
  <c r="L95" i="24" s="1"/>
  <c r="K94" i="24"/>
  <c r="J94" i="24"/>
  <c r="L94" i="24" s="1"/>
  <c r="K93" i="24"/>
  <c r="J93" i="24"/>
  <c r="K92" i="24"/>
  <c r="J92" i="24"/>
  <c r="L92" i="24" s="1"/>
  <c r="K91" i="24"/>
  <c r="J91" i="24"/>
  <c r="K90" i="24"/>
  <c r="J90" i="24"/>
  <c r="L90" i="24" s="1"/>
  <c r="K89" i="24"/>
  <c r="J89" i="24"/>
  <c r="L89" i="24" s="1"/>
  <c r="K88" i="24"/>
  <c r="J88" i="24"/>
  <c r="L88" i="24" s="1"/>
  <c r="K87" i="24"/>
  <c r="J87" i="24"/>
  <c r="K86" i="24"/>
  <c r="J86" i="24"/>
  <c r="K85" i="24"/>
  <c r="J85" i="24"/>
  <c r="L85" i="24" s="1"/>
  <c r="K84" i="24"/>
  <c r="J84" i="24"/>
  <c r="L84" i="24" s="1"/>
  <c r="K83" i="24"/>
  <c r="J83" i="24"/>
  <c r="K82" i="24"/>
  <c r="J82" i="24"/>
  <c r="L82" i="24" s="1"/>
  <c r="K81" i="24"/>
  <c r="J81" i="24"/>
  <c r="L81" i="24" s="1"/>
  <c r="K80" i="24"/>
  <c r="J80" i="24"/>
  <c r="L80" i="24" s="1"/>
  <c r="K79" i="24"/>
  <c r="J79" i="24"/>
  <c r="K78" i="24"/>
  <c r="J78" i="24"/>
  <c r="K77" i="24"/>
  <c r="J77" i="24"/>
  <c r="L77" i="24" s="1"/>
  <c r="K76" i="24"/>
  <c r="J76" i="24"/>
  <c r="L76" i="24" s="1"/>
  <c r="K75" i="24"/>
  <c r="J75" i="24"/>
  <c r="L75" i="24" s="1"/>
  <c r="K74" i="24"/>
  <c r="J74" i="24"/>
  <c r="K73" i="24"/>
  <c r="J73" i="24"/>
  <c r="L73" i="24" s="1"/>
  <c r="K72" i="24"/>
  <c r="J72" i="24"/>
  <c r="L72" i="24" s="1"/>
  <c r="K71" i="24"/>
  <c r="J71" i="24"/>
  <c r="L71" i="24" s="1"/>
  <c r="K70" i="24"/>
  <c r="J70" i="24"/>
  <c r="L70" i="24" s="1"/>
  <c r="K69" i="24"/>
  <c r="J69" i="24"/>
  <c r="L69" i="24" s="1"/>
  <c r="K68" i="24"/>
  <c r="J68" i="24"/>
  <c r="L68" i="24" s="1"/>
  <c r="K66" i="24"/>
  <c r="J66" i="24"/>
  <c r="K65" i="24"/>
  <c r="J65" i="24"/>
  <c r="L65" i="24" s="1"/>
  <c r="K64" i="24"/>
  <c r="J64" i="24"/>
  <c r="L64" i="24" s="1"/>
  <c r="K63" i="24"/>
  <c r="J63" i="24"/>
  <c r="L63" i="24" s="1"/>
  <c r="K60" i="24"/>
  <c r="J60" i="24"/>
  <c r="L60" i="24" s="1"/>
  <c r="K56" i="24"/>
  <c r="J56" i="24"/>
  <c r="L56" i="24" s="1"/>
  <c r="K55" i="24"/>
  <c r="J55" i="24"/>
  <c r="L55" i="24" s="1"/>
  <c r="K54" i="24"/>
  <c r="J54" i="24"/>
  <c r="K53" i="24"/>
  <c r="J53" i="24"/>
  <c r="K52" i="24"/>
  <c r="J52" i="24"/>
  <c r="L52" i="24" s="1"/>
  <c r="K51" i="24"/>
  <c r="J51" i="24"/>
  <c r="L51" i="24" s="1"/>
  <c r="K50" i="24"/>
  <c r="J50" i="24"/>
  <c r="L50" i="24" s="1"/>
  <c r="K49" i="24"/>
  <c r="J49" i="24"/>
  <c r="L49" i="24" s="1"/>
  <c r="K48" i="24"/>
  <c r="J48" i="24"/>
  <c r="L48" i="24" s="1"/>
  <c r="L47" i="24"/>
  <c r="L46" i="24"/>
  <c r="K45" i="24"/>
  <c r="J45" i="24"/>
  <c r="L45" i="24" s="1"/>
  <c r="K44" i="24"/>
  <c r="J44" i="24"/>
  <c r="K43" i="24"/>
  <c r="J43" i="24"/>
  <c r="K42" i="24"/>
  <c r="J42" i="24"/>
  <c r="L42" i="24" s="1"/>
  <c r="K41" i="24"/>
  <c r="J41" i="24"/>
  <c r="L41" i="24" s="1"/>
  <c r="K40" i="24"/>
  <c r="J40" i="24"/>
  <c r="L40" i="24" s="1"/>
  <c r="K39" i="24"/>
  <c r="J39" i="24"/>
  <c r="K38" i="24"/>
  <c r="J38" i="24"/>
  <c r="L38" i="24" s="1"/>
  <c r="K37" i="24"/>
  <c r="J37" i="24"/>
  <c r="L37" i="24" s="1"/>
  <c r="K36" i="24"/>
  <c r="J36" i="24"/>
  <c r="K35" i="24"/>
  <c r="J35" i="24"/>
  <c r="K33" i="24"/>
  <c r="J33" i="24"/>
  <c r="K32" i="24"/>
  <c r="J32" i="24"/>
  <c r="L32" i="24" s="1"/>
  <c r="K31" i="24"/>
  <c r="J31" i="24"/>
  <c r="K30" i="24"/>
  <c r="J30" i="24"/>
  <c r="L30" i="24" s="1"/>
  <c r="K29" i="24"/>
  <c r="J29" i="24"/>
  <c r="L29" i="24" s="1"/>
  <c r="K28" i="24"/>
  <c r="J28" i="24"/>
  <c r="L28" i="24" s="1"/>
  <c r="K27" i="24"/>
  <c r="J27" i="24"/>
  <c r="K26" i="24"/>
  <c r="J26" i="24"/>
  <c r="K25" i="24"/>
  <c r="J25" i="24"/>
  <c r="L25" i="24" s="1"/>
  <c r="K24" i="24"/>
  <c r="J24" i="24"/>
  <c r="L24" i="24" s="1"/>
  <c r="I19" i="24"/>
  <c r="H19" i="24"/>
  <c r="F19" i="24"/>
  <c r="E19" i="24"/>
  <c r="I17" i="24"/>
  <c r="H17" i="24"/>
  <c r="H9" i="24" s="1"/>
  <c r="F17" i="24"/>
  <c r="F9" i="24" s="1"/>
  <c r="E17" i="24"/>
  <c r="I15" i="24"/>
  <c r="H15" i="24"/>
  <c r="F15" i="24"/>
  <c r="E15" i="24"/>
  <c r="I13" i="24"/>
  <c r="H13" i="24"/>
  <c r="F13" i="24"/>
  <c r="E13" i="24"/>
  <c r="I11" i="24"/>
  <c r="H11" i="24"/>
  <c r="F11" i="24"/>
  <c r="E11" i="24"/>
  <c r="I10" i="24"/>
  <c r="G9" i="24"/>
  <c r="G222" i="23"/>
  <c r="G221" i="23" s="1"/>
  <c r="E221" i="23"/>
  <c r="D221" i="23"/>
  <c r="G220" i="23"/>
  <c r="G219" i="23" s="1"/>
  <c r="E219" i="23"/>
  <c r="E212" i="23" s="1"/>
  <c r="D219" i="23"/>
  <c r="G218" i="23"/>
  <c r="G217" i="23" s="1"/>
  <c r="E217" i="23"/>
  <c r="D217" i="23"/>
  <c r="G216" i="23"/>
  <c r="G215" i="23" s="1"/>
  <c r="E215" i="23"/>
  <c r="D215" i="23"/>
  <c r="G214" i="23"/>
  <c r="G213" i="23" s="1"/>
  <c r="E213" i="23"/>
  <c r="D213" i="23"/>
  <c r="G211" i="23"/>
  <c r="G210" i="23" s="1"/>
  <c r="F210" i="23"/>
  <c r="E210" i="23"/>
  <c r="D210" i="23"/>
  <c r="G209" i="23"/>
  <c r="G208" i="23"/>
  <c r="G207" i="23" s="1"/>
  <c r="F207" i="23"/>
  <c r="E207" i="23"/>
  <c r="D207" i="23"/>
  <c r="G206" i="23"/>
  <c r="G205" i="23"/>
  <c r="G204" i="23"/>
  <c r="F204" i="23"/>
  <c r="E204" i="23"/>
  <c r="D204" i="23"/>
  <c r="G203" i="23"/>
  <c r="G202" i="23"/>
  <c r="F201" i="23"/>
  <c r="E201" i="23"/>
  <c r="D201" i="23"/>
  <c r="G200" i="23"/>
  <c r="G199" i="23"/>
  <c r="G198" i="23" s="1"/>
  <c r="F198" i="23"/>
  <c r="E198" i="23"/>
  <c r="D198" i="23"/>
  <c r="G196" i="23"/>
  <c r="G195" i="23"/>
  <c r="G194" i="23"/>
  <c r="G193" i="23"/>
  <c r="G192" i="23"/>
  <c r="G191" i="23"/>
  <c r="G190" i="23"/>
  <c r="E189" i="23"/>
  <c r="D189" i="23"/>
  <c r="G188" i="23"/>
  <c r="G187" i="23"/>
  <c r="G186" i="23"/>
  <c r="G185" i="23"/>
  <c r="G184" i="23"/>
  <c r="G183" i="23"/>
  <c r="G182" i="23"/>
  <c r="E181" i="23"/>
  <c r="D181" i="23"/>
  <c r="G180" i="23"/>
  <c r="G179" i="23"/>
  <c r="G178" i="23"/>
  <c r="G177" i="23"/>
  <c r="G176" i="23"/>
  <c r="G175" i="23"/>
  <c r="G174" i="23"/>
  <c r="E173" i="23"/>
  <c r="D173" i="23"/>
  <c r="G172" i="23"/>
  <c r="G171" i="23"/>
  <c r="G170" i="23"/>
  <c r="G169" i="23"/>
  <c r="G168" i="23"/>
  <c r="G167" i="23"/>
  <c r="G166" i="23"/>
  <c r="E165" i="23"/>
  <c r="D165" i="23"/>
  <c r="G164" i="23"/>
  <c r="G163" i="23"/>
  <c r="G162" i="23"/>
  <c r="E161" i="23"/>
  <c r="D161" i="23"/>
  <c r="G159" i="23"/>
  <c r="G156" i="23"/>
  <c r="G155" i="23"/>
  <c r="G154" i="23" s="1"/>
  <c r="F154" i="23"/>
  <c r="E154" i="23"/>
  <c r="D154" i="23"/>
  <c r="G153" i="23"/>
  <c r="G152" i="23"/>
  <c r="G151" i="23"/>
  <c r="F151" i="23"/>
  <c r="E151" i="23"/>
  <c r="D151" i="23"/>
  <c r="G150" i="23"/>
  <c r="G149" i="23"/>
  <c r="F148" i="23"/>
  <c r="E148" i="23"/>
  <c r="D148" i="23"/>
  <c r="G147" i="23"/>
  <c r="G146" i="23"/>
  <c r="G145" i="23"/>
  <c r="G144" i="23"/>
  <c r="F143" i="23"/>
  <c r="E143" i="23"/>
  <c r="D143" i="23"/>
  <c r="G142" i="23"/>
  <c r="G141" i="23"/>
  <c r="G140" i="23"/>
  <c r="G139" i="23"/>
  <c r="G138" i="23" s="1"/>
  <c r="F138" i="23"/>
  <c r="E138" i="23"/>
  <c r="D138" i="23"/>
  <c r="G136" i="23"/>
  <c r="G135" i="23"/>
  <c r="G134" i="23"/>
  <c r="E134" i="23"/>
  <c r="D134" i="23"/>
  <c r="G133" i="23"/>
  <c r="G131" i="23" s="1"/>
  <c r="G132" i="23"/>
  <c r="F131" i="23"/>
  <c r="E131" i="23"/>
  <c r="D131" i="23"/>
  <c r="G130" i="23"/>
  <c r="G129" i="23"/>
  <c r="F128" i="23"/>
  <c r="E128" i="23"/>
  <c r="D128" i="23"/>
  <c r="G127" i="23"/>
  <c r="G126" i="23"/>
  <c r="G125" i="23"/>
  <c r="F125" i="23"/>
  <c r="E125" i="23"/>
  <c r="D125" i="23"/>
  <c r="G122" i="23"/>
  <c r="G121" i="23"/>
  <c r="G120" i="23"/>
  <c r="F119" i="23"/>
  <c r="E119" i="23"/>
  <c r="D119" i="23"/>
  <c r="G118" i="23"/>
  <c r="G117" i="23"/>
  <c r="G116" i="23"/>
  <c r="F115" i="23"/>
  <c r="E115" i="23"/>
  <c r="D115" i="23"/>
  <c r="G114" i="23"/>
  <c r="G113" i="23"/>
  <c r="G112" i="23"/>
  <c r="F111" i="23"/>
  <c r="E111" i="23"/>
  <c r="D111" i="23"/>
  <c r="G110" i="23"/>
  <c r="G109" i="23"/>
  <c r="G108" i="23"/>
  <c r="G107" i="23"/>
  <c r="F107" i="23"/>
  <c r="E107" i="23"/>
  <c r="D107" i="23"/>
  <c r="G106" i="23"/>
  <c r="G105" i="23"/>
  <c r="G104" i="23"/>
  <c r="F103" i="23"/>
  <c r="E103" i="23"/>
  <c r="D103" i="23"/>
  <c r="G99" i="23"/>
  <c r="G98" i="23" s="1"/>
  <c r="F98" i="23"/>
  <c r="E98" i="23"/>
  <c r="D98" i="23"/>
  <c r="G96" i="23"/>
  <c r="G95" i="23"/>
  <c r="G94" i="23"/>
  <c r="G93" i="23"/>
  <c r="G92" i="23"/>
  <c r="F91" i="23"/>
  <c r="E91" i="23"/>
  <c r="G90" i="23"/>
  <c r="G89" i="23"/>
  <c r="G88" i="23"/>
  <c r="G87" i="23"/>
  <c r="G86" i="23"/>
  <c r="F85" i="23"/>
  <c r="E85" i="23"/>
  <c r="G84" i="23"/>
  <c r="G83" i="23"/>
  <c r="G82" i="23"/>
  <c r="G81" i="23"/>
  <c r="G80" i="23"/>
  <c r="F79" i="23"/>
  <c r="E79" i="23"/>
  <c r="G78" i="23"/>
  <c r="G77" i="23"/>
  <c r="G76" i="23"/>
  <c r="G75" i="23"/>
  <c r="G74" i="23"/>
  <c r="G73" i="23" s="1"/>
  <c r="F73" i="23"/>
  <c r="E73" i="23"/>
  <c r="G72" i="23"/>
  <c r="G71" i="23"/>
  <c r="G70" i="23"/>
  <c r="G69" i="23"/>
  <c r="G68" i="23"/>
  <c r="G67" i="23" s="1"/>
  <c r="F67" i="23"/>
  <c r="E67" i="23"/>
  <c r="D67" i="23"/>
  <c r="D66" i="23" s="1"/>
  <c r="G65" i="23"/>
  <c r="G64" i="23" s="1"/>
  <c r="F64" i="23"/>
  <c r="E64" i="23"/>
  <c r="D64" i="23"/>
  <c r="G63" i="23"/>
  <c r="G62" i="23"/>
  <c r="G61" i="23" s="1"/>
  <c r="F61" i="23"/>
  <c r="E61" i="23"/>
  <c r="D61" i="23"/>
  <c r="G60" i="23"/>
  <c r="G59" i="23"/>
  <c r="F58" i="23"/>
  <c r="E58" i="23"/>
  <c r="D58" i="23"/>
  <c r="G57" i="23"/>
  <c r="G56" i="23"/>
  <c r="F55" i="23"/>
  <c r="E55" i="23"/>
  <c r="D55" i="23"/>
  <c r="G54" i="23"/>
  <c r="G53" i="23"/>
  <c r="G50" i="23"/>
  <c r="G49" i="23"/>
  <c r="E49" i="23"/>
  <c r="D49" i="23"/>
  <c r="G47" i="23"/>
  <c r="G46" i="23"/>
  <c r="G45" i="23" s="1"/>
  <c r="F45" i="23"/>
  <c r="E45" i="23"/>
  <c r="D45" i="23"/>
  <c r="G44" i="23"/>
  <c r="G43" i="23"/>
  <c r="F42" i="23"/>
  <c r="E42" i="23"/>
  <c r="D42" i="23"/>
  <c r="G41" i="23"/>
  <c r="G40" i="23"/>
  <c r="G39" i="23" s="1"/>
  <c r="F39" i="23"/>
  <c r="E39" i="23"/>
  <c r="D39" i="23"/>
  <c r="G38" i="23"/>
  <c r="G37" i="23"/>
  <c r="F36" i="23"/>
  <c r="E36" i="23"/>
  <c r="D36" i="23"/>
  <c r="G35" i="23"/>
  <c r="G34" i="23"/>
  <c r="F33" i="23"/>
  <c r="E33" i="23"/>
  <c r="D33" i="23"/>
  <c r="G31" i="23"/>
  <c r="G30" i="23"/>
  <c r="G29" i="23"/>
  <c r="G28" i="23"/>
  <c r="G27" i="23"/>
  <c r="F26" i="23"/>
  <c r="E26" i="23"/>
  <c r="D26" i="23"/>
  <c r="G25" i="23"/>
  <c r="G24" i="23"/>
  <c r="G23" i="23"/>
  <c r="G22" i="23"/>
  <c r="G21" i="23"/>
  <c r="F20" i="23"/>
  <c r="E20" i="23"/>
  <c r="D20" i="23"/>
  <c r="G18" i="23"/>
  <c r="G17" i="23"/>
  <c r="G16" i="23"/>
  <c r="G15" i="23"/>
  <c r="G14" i="23"/>
  <c r="E13" i="23"/>
  <c r="D13" i="23"/>
  <c r="C11" i="23"/>
  <c r="C10" i="23"/>
  <c r="C9" i="23"/>
  <c r="C8" i="23"/>
  <c r="C7" i="23"/>
  <c r="L358" i="24" l="1"/>
  <c r="E18" i="24"/>
  <c r="L26" i="24"/>
  <c r="L35" i="24"/>
  <c r="L43" i="24"/>
  <c r="L135" i="24"/>
  <c r="L203" i="24"/>
  <c r="L235" i="24"/>
  <c r="L243" i="24"/>
  <c r="L272" i="24"/>
  <c r="J329" i="24"/>
  <c r="I12" i="24"/>
  <c r="G18" i="24"/>
  <c r="L418" i="24"/>
  <c r="L473" i="24"/>
  <c r="L488" i="24"/>
  <c r="J17" i="24"/>
  <c r="J395" i="24"/>
  <c r="L509" i="24"/>
  <c r="L39" i="24"/>
  <c r="L292" i="24"/>
  <c r="G16" i="24"/>
  <c r="K432" i="24"/>
  <c r="L499" i="24"/>
  <c r="I16" i="24"/>
  <c r="H10" i="24"/>
  <c r="F12" i="24"/>
  <c r="E12" i="24"/>
  <c r="L228" i="24"/>
  <c r="H18" i="24"/>
  <c r="H8" i="24" s="1"/>
  <c r="K416" i="24"/>
  <c r="L425" i="24"/>
  <c r="L481" i="24"/>
  <c r="G310" i="24"/>
  <c r="G10" i="24" s="1"/>
  <c r="G8" i="24" s="1"/>
  <c r="L432" i="24"/>
  <c r="K525" i="24"/>
  <c r="L175" i="24"/>
  <c r="L347" i="24"/>
  <c r="H16" i="24"/>
  <c r="L79" i="24"/>
  <c r="J11" i="24"/>
  <c r="G12" i="24"/>
  <c r="H12" i="24"/>
  <c r="L369" i="24"/>
  <c r="L27" i="24"/>
  <c r="L36" i="24"/>
  <c r="L44" i="24"/>
  <c r="L53" i="24"/>
  <c r="L66" i="24"/>
  <c r="L236" i="24"/>
  <c r="L244" i="24"/>
  <c r="L281" i="24"/>
  <c r="L326" i="24"/>
  <c r="L332" i="24"/>
  <c r="L344" i="24"/>
  <c r="L363" i="24"/>
  <c r="I18" i="24"/>
  <c r="L398" i="24"/>
  <c r="L406" i="24"/>
  <c r="K410" i="24"/>
  <c r="L419" i="24"/>
  <c r="L444" i="24"/>
  <c r="L450" i="24"/>
  <c r="L466" i="24"/>
  <c r="L489" i="24"/>
  <c r="G181" i="23"/>
  <c r="D197" i="23"/>
  <c r="J18" i="23"/>
  <c r="K17" i="23"/>
  <c r="L17" i="23"/>
  <c r="D8" i="23"/>
  <c r="D212" i="23"/>
  <c r="D123" i="23"/>
  <c r="G85" i="23"/>
  <c r="G143" i="23"/>
  <c r="G111" i="23"/>
  <c r="E7" i="23"/>
  <c r="G33" i="23"/>
  <c r="G55" i="23"/>
  <c r="G36" i="23"/>
  <c r="E11" i="23"/>
  <c r="J16" i="23"/>
  <c r="G165" i="23"/>
  <c r="J14" i="23"/>
  <c r="F66" i="23"/>
  <c r="D137" i="23"/>
  <c r="L16" i="23"/>
  <c r="F10" i="23"/>
  <c r="F11" i="23"/>
  <c r="G58" i="23"/>
  <c r="G189" i="23"/>
  <c r="J423" i="24"/>
  <c r="L439" i="24"/>
  <c r="L329" i="24"/>
  <c r="G128" i="23"/>
  <c r="G123" i="23" s="1"/>
  <c r="G161" i="23"/>
  <c r="J17" i="23"/>
  <c r="L54" i="24"/>
  <c r="L218" i="24"/>
  <c r="K349" i="24"/>
  <c r="L386" i="24"/>
  <c r="L119" i="24"/>
  <c r="L251" i="24"/>
  <c r="L300" i="24"/>
  <c r="L331" i="24"/>
  <c r="L401" i="24"/>
  <c r="L528" i="24"/>
  <c r="D32" i="23"/>
  <c r="D19" i="23" s="1"/>
  <c r="L226" i="24"/>
  <c r="L474" i="24"/>
  <c r="G119" i="23"/>
  <c r="K338" i="24"/>
  <c r="L375" i="24"/>
  <c r="L267" i="24"/>
  <c r="D7" i="23"/>
  <c r="E102" i="23"/>
  <c r="L409" i="24"/>
  <c r="F18" i="24"/>
  <c r="L14" i="23"/>
  <c r="L518" i="24"/>
  <c r="K15" i="24"/>
  <c r="L495" i="24"/>
  <c r="L494" i="24" s="1"/>
  <c r="G20" i="23"/>
  <c r="K18" i="23"/>
  <c r="J349" i="24"/>
  <c r="L490" i="24"/>
  <c r="L18" i="23"/>
  <c r="L319" i="24"/>
  <c r="D9" i="23"/>
  <c r="L33" i="24"/>
  <c r="L364" i="24"/>
  <c r="L342" i="24"/>
  <c r="E10" i="24"/>
  <c r="L453" i="24"/>
  <c r="L308" i="24"/>
  <c r="L275" i="24"/>
  <c r="F7" i="23"/>
  <c r="F6" i="23" s="1"/>
  <c r="E14" i="24"/>
  <c r="J432" i="24"/>
  <c r="G42" i="23"/>
  <c r="L397" i="24"/>
  <c r="K445" i="24"/>
  <c r="D11" i="23"/>
  <c r="K17" i="24"/>
  <c r="L390" i="24"/>
  <c r="L449" i="24"/>
  <c r="F32" i="23"/>
  <c r="D102" i="23"/>
  <c r="J19" i="24"/>
  <c r="K13" i="24"/>
  <c r="L284" i="24"/>
  <c r="I14" i="24"/>
  <c r="L514" i="24"/>
  <c r="T10" i="27"/>
  <c r="T11" i="27" s="1"/>
  <c r="E11" i="27"/>
  <c r="F10" i="24"/>
  <c r="K477" i="24"/>
  <c r="E10" i="23"/>
  <c r="L461" i="24"/>
  <c r="J147" i="24"/>
  <c r="F16" i="24"/>
  <c r="J360" i="24"/>
  <c r="R10" i="27"/>
  <c r="R11" i="27" s="1"/>
  <c r="C11" i="27"/>
  <c r="J338" i="24"/>
  <c r="L443" i="24"/>
  <c r="K11" i="24"/>
  <c r="L470" i="24"/>
  <c r="K510" i="24"/>
  <c r="J15" i="23"/>
  <c r="E8" i="23"/>
  <c r="G103" i="23"/>
  <c r="M14" i="23" s="1"/>
  <c r="L405" i="24"/>
  <c r="L428" i="24"/>
  <c r="K501" i="24"/>
  <c r="K15" i="23"/>
  <c r="G91" i="23"/>
  <c r="E197" i="23"/>
  <c r="K16" i="23"/>
  <c r="G115" i="23"/>
  <c r="E123" i="23"/>
  <c r="F197" i="23"/>
  <c r="L31" i="24"/>
  <c r="L117" i="24"/>
  <c r="L150" i="24"/>
  <c r="L298" i="24"/>
  <c r="L346" i="24"/>
  <c r="L357" i="24"/>
  <c r="L399" i="24"/>
  <c r="L457" i="24"/>
  <c r="G26" i="23"/>
  <c r="F9" i="23"/>
  <c r="E66" i="23"/>
  <c r="G79" i="23"/>
  <c r="G66" i="23" s="1"/>
  <c r="F123" i="23"/>
  <c r="E137" i="23"/>
  <c r="G148" i="23"/>
  <c r="G137" i="23" s="1"/>
  <c r="G173" i="23"/>
  <c r="G201" i="23"/>
  <c r="G197" i="23" s="1"/>
  <c r="K19" i="24"/>
  <c r="L86" i="24"/>
  <c r="L93" i="24"/>
  <c r="L142" i="24"/>
  <c r="L182" i="24"/>
  <c r="L210" i="24"/>
  <c r="L217" i="24"/>
  <c r="L224" i="24"/>
  <c r="L265" i="24"/>
  <c r="K329" i="24"/>
  <c r="L351" i="24"/>
  <c r="L362" i="24"/>
  <c r="L392" i="24"/>
  <c r="L472" i="24"/>
  <c r="L493" i="24"/>
  <c r="K9" i="24"/>
  <c r="I7" i="24"/>
  <c r="L249" i="24"/>
  <c r="L248" i="24" s="1"/>
  <c r="J248" i="24"/>
  <c r="E9" i="24"/>
  <c r="I9" i="24"/>
  <c r="J13" i="24"/>
  <c r="L78" i="24"/>
  <c r="L83" i="24"/>
  <c r="L111" i="24"/>
  <c r="L130" i="24"/>
  <c r="L170" i="24"/>
  <c r="L186" i="24"/>
  <c r="L198" i="24"/>
  <c r="L214" i="24"/>
  <c r="L230" i="24"/>
  <c r="K248" i="24"/>
  <c r="L373" i="24"/>
  <c r="J371" i="24"/>
  <c r="L526" i="24"/>
  <c r="L525" i="24" s="1"/>
  <c r="J525" i="24"/>
  <c r="J15" i="24"/>
  <c r="L87" i="24"/>
  <c r="L99" i="24"/>
  <c r="L115" i="24"/>
  <c r="L134" i="24"/>
  <c r="L148" i="24"/>
  <c r="L174" i="24"/>
  <c r="L262" i="24"/>
  <c r="L261" i="24" s="1"/>
  <c r="J261" i="24"/>
  <c r="L334" i="24"/>
  <c r="L333" i="24" s="1"/>
  <c r="J333" i="24"/>
  <c r="K423" i="24"/>
  <c r="L424" i="24"/>
  <c r="L480" i="24"/>
  <c r="J477" i="24"/>
  <c r="L74" i="24"/>
  <c r="L91" i="24"/>
  <c r="L103" i="24"/>
  <c r="L138" i="24"/>
  <c r="K147" i="24"/>
  <c r="L152" i="24"/>
  <c r="L178" i="24"/>
  <c r="L190" i="24"/>
  <c r="L206" i="24"/>
  <c r="L222" i="24"/>
  <c r="L238" i="24"/>
  <c r="L260" i="24"/>
  <c r="L259" i="24" s="1"/>
  <c r="J259" i="24"/>
  <c r="K382" i="24"/>
  <c r="K18" i="24" s="1"/>
  <c r="K494" i="24"/>
  <c r="L312" i="24"/>
  <c r="L316" i="24"/>
  <c r="L431" i="24"/>
  <c r="L447" i="24"/>
  <c r="J445" i="24"/>
  <c r="L512" i="24"/>
  <c r="J510" i="24"/>
  <c r="L274" i="24"/>
  <c r="L311" i="24"/>
  <c r="J310" i="24"/>
  <c r="J10" i="24" s="1"/>
  <c r="L322" i="24"/>
  <c r="L320" i="24" s="1"/>
  <c r="J320" i="24"/>
  <c r="K360" i="24"/>
  <c r="K14" i="24" s="1"/>
  <c r="K395" i="24"/>
  <c r="L412" i="24"/>
  <c r="L410" i="24" s="1"/>
  <c r="J410" i="24"/>
  <c r="L417" i="24"/>
  <c r="J416" i="24"/>
  <c r="L482" i="24"/>
  <c r="L523" i="24"/>
  <c r="L522" i="24" s="1"/>
  <c r="L279" i="24"/>
  <c r="L287" i="24"/>
  <c r="L295" i="24"/>
  <c r="L303" i="24"/>
  <c r="K310" i="24"/>
  <c r="L314" i="24"/>
  <c r="L318" i="24"/>
  <c r="L327" i="24"/>
  <c r="L325" i="24" s="1"/>
  <c r="J325" i="24"/>
  <c r="L341" i="24"/>
  <c r="L338" i="24" s="1"/>
  <c r="L367" i="24"/>
  <c r="K371" i="24"/>
  <c r="J382" i="24"/>
  <c r="L385" i="24"/>
  <c r="L400" i="24"/>
  <c r="L408" i="24"/>
  <c r="L427" i="24"/>
  <c r="L442" i="24"/>
  <c r="L448" i="24"/>
  <c r="L456" i="24"/>
  <c r="L464" i="24"/>
  <c r="L469" i="24"/>
  <c r="J494" i="24"/>
  <c r="L502" i="24"/>
  <c r="L501" i="24" s="1"/>
  <c r="J501" i="24"/>
  <c r="L513" i="24"/>
  <c r="L521" i="24"/>
  <c r="G212" i="23"/>
  <c r="K14" i="23"/>
  <c r="F8" i="23"/>
  <c r="E9" i="23"/>
  <c r="D10" i="23"/>
  <c r="E32" i="23"/>
  <c r="E19" i="23" s="1"/>
  <c r="F137" i="23"/>
  <c r="F102" i="23"/>
  <c r="G13" i="23"/>
  <c r="L15" i="23"/>
  <c r="H7" i="24" l="1"/>
  <c r="J9" i="24"/>
  <c r="E8" i="24"/>
  <c r="L416" i="24"/>
  <c r="L349" i="24"/>
  <c r="L17" i="24"/>
  <c r="Q13" i="24" s="1"/>
  <c r="K10" i="24"/>
  <c r="V25" i="24"/>
  <c r="I8" i="24"/>
  <c r="L510" i="24"/>
  <c r="K12" i="24"/>
  <c r="L246" i="24"/>
  <c r="F8" i="24"/>
  <c r="L371" i="24"/>
  <c r="G7" i="24"/>
  <c r="G32" i="23"/>
  <c r="G19" i="23" s="1"/>
  <c r="G7" i="23"/>
  <c r="M17" i="23"/>
  <c r="M15" i="23"/>
  <c r="G8" i="23"/>
  <c r="G11" i="23"/>
  <c r="G9" i="23"/>
  <c r="G102" i="23"/>
  <c r="E7" i="24"/>
  <c r="M16" i="23"/>
  <c r="L395" i="24"/>
  <c r="L147" i="24"/>
  <c r="F7" i="24"/>
  <c r="C7" i="24" s="1"/>
  <c r="L445" i="24"/>
  <c r="V24" i="24"/>
  <c r="L382" i="24"/>
  <c r="M18" i="23"/>
  <c r="G10" i="23"/>
  <c r="L15" i="24"/>
  <c r="Q12" i="24" s="1"/>
  <c r="J14" i="24"/>
  <c r="L423" i="24"/>
  <c r="L257" i="24"/>
  <c r="V26" i="24"/>
  <c r="V145" i="24"/>
  <c r="L13" i="24"/>
  <c r="Q11" i="24" s="1"/>
  <c r="K16" i="24"/>
  <c r="L360" i="24"/>
  <c r="L14" i="24" s="1"/>
  <c r="P12" i="24" s="1"/>
  <c r="O12" i="24" s="1"/>
  <c r="D6" i="23"/>
  <c r="J257" i="24"/>
  <c r="E6" i="23"/>
  <c r="J12" i="24"/>
  <c r="J16" i="24"/>
  <c r="L18" i="24"/>
  <c r="P14" i="24" s="1"/>
  <c r="V23" i="24"/>
  <c r="L310" i="24"/>
  <c r="L19" i="24"/>
  <c r="Q14" i="24" s="1"/>
  <c r="L12" i="24"/>
  <c r="P11" i="24" s="1"/>
  <c r="L477" i="24"/>
  <c r="J18" i="24"/>
  <c r="L97" i="24"/>
  <c r="L11" i="24"/>
  <c r="J8" i="24" l="1"/>
  <c r="L10" i="24"/>
  <c r="P10" i="24" s="1"/>
  <c r="L16" i="24"/>
  <c r="P13" i="24" s="1"/>
  <c r="O13" i="24" s="1"/>
  <c r="K8" i="24"/>
  <c r="O11" i="24"/>
  <c r="G6" i="23"/>
  <c r="M13" i="23"/>
  <c r="J7" i="24"/>
  <c r="K7" i="24"/>
  <c r="Q10" i="24"/>
  <c r="Q7" i="24" s="1"/>
  <c r="L9" i="24"/>
  <c r="O14" i="24"/>
  <c r="L7" i="24" l="1"/>
  <c r="L8" i="24"/>
  <c r="P7" i="24"/>
  <c r="O7" i="24" s="1"/>
  <c r="O10" i="24"/>
  <c r="AM9" i="31"/>
  <c r="AJ6" i="31"/>
  <c r="AJ7" i="31"/>
  <c r="AM12" i="31"/>
  <c r="AM6" i="31" s="1"/>
  <c r="AI6" i="31"/>
  <c r="AI7" i="31"/>
</calcChain>
</file>

<file path=xl/sharedStrings.xml><?xml version="1.0" encoding="utf-8"?>
<sst xmlns="http://schemas.openxmlformats.org/spreadsheetml/2006/main" count="2249" uniqueCount="660">
  <si>
    <t>Đối tượng/Nội dung chi</t>
  </si>
  <si>
    <t>Mức chi
(triệu đồng)</t>
  </si>
  <si>
    <t>Tổng số lượng</t>
  </si>
  <si>
    <t>Bác sĩ đa khoa hoặc Bác sĩ Y khoa: 300 triệu đồng/người.</t>
  </si>
  <si>
    <t>Năm 2026</t>
  </si>
  <si>
    <t>Kinh phí</t>
  </si>
  <si>
    <t>Năm 2027</t>
  </si>
  <si>
    <t>Năm 2028</t>
  </si>
  <si>
    <t>Năm 2029</t>
  </si>
  <si>
    <t>Năm 2030</t>
  </si>
  <si>
    <t>Tổng cộng</t>
  </si>
  <si>
    <t>Ghi chú</t>
  </si>
  <si>
    <t>Tổng KP 
dự kiến/năm
(triệu đồng)</t>
  </si>
  <si>
    <t>Nội dung chi 01: Viên chức chuyên ngành y tế trong các đơn vị sự nghiệp công lập tự chủ nhóm 3, nhóm 4 được hưởng chế độ đãi ngộ khi được cấp có thẩm quyền đánh giá xếp loại công tác năm từ mức hoàn thành nhiệm vụ trở lên. Mỗi viên chức được hưởng tối đa 3 lần trong giai đoạn từ năm 2025 đến năm 2030</t>
  </si>
  <si>
    <t>Bác sĩ sau đại học, dược sĩ sau đại học hưởng 6.000.000 đồng/người/năm.</t>
  </si>
  <si>
    <t>Bác sĩ, dược sĩ đại học hưởng 5.000.000 đồng/người/năm.</t>
  </si>
  <si>
    <t>Viên chức chuyên môn y tế khác (Điều dưỡng, y sĩ, hộ sinh, kỹ thuật viên; dược sĩ cao đẳng,...) hưởng 4.000.000 đồng/người/năm.</t>
  </si>
  <si>
    <t>Bác sĩ sau đại học, dược sĩ sau đại học hưởng 18.000.000 đồng/người/năm.</t>
  </si>
  <si>
    <t>Bác sĩ, dược sĩ đại học hưởng 10.000.000 đồng/người/năm.</t>
  </si>
  <si>
    <t>Viên chức chuyên môn y tế khác (Điều dưỡng, y sĩ, hộ sinh, kỹ thuật viên; dược sĩ cao đẳng,...) hưởng 8.000.000 đồng/người/năm.</t>
  </si>
  <si>
    <t>STT</t>
  </si>
  <si>
    <t xml:space="preserve"> Viên chức chuyên ngành y tế trong các đơn vị sự nghiệp công lập tự chủ nhóm 3, nhóm 4 </t>
  </si>
  <si>
    <t xml:space="preserve"> Viên chức chuyên ngành y tế tại TYT </t>
  </si>
  <si>
    <t>1.1.</t>
  </si>
  <si>
    <r>
      <t xml:space="preserve">Mức chi
</t>
    </r>
    <r>
      <rPr>
        <i/>
        <sz val="12"/>
        <rFont val="Times New Roman"/>
        <family val="1"/>
      </rPr>
      <t>(triệu đồng)</t>
    </r>
  </si>
  <si>
    <t>Năm 2025</t>
  </si>
  <si>
    <t>Diện ít hấp dẫn</t>
  </si>
  <si>
    <t>Số tiền học phí/năm</t>
  </si>
  <si>
    <t>Số năm</t>
  </si>
  <si>
    <t>Tiến sĩ chuyên ngành y tế</t>
  </si>
  <si>
    <t>Chuyên khoa cấp II</t>
  </si>
  <si>
    <t>Bác sĩ nội trú</t>
  </si>
  <si>
    <t>Thạc sĩ, chuyên khoa cấp I</t>
  </si>
  <si>
    <t>Tốt nghiệp bác sĩ (TYT tuyến xã và huyện đảo)</t>
  </si>
  <si>
    <t>Tốt nghiệp bác sĩ (TYT tuyến xã, TTYT và huyện đảo)</t>
  </si>
  <si>
    <t>TT</t>
  </si>
  <si>
    <t>Đơn vị đề nghị tăng cường</t>
  </si>
  <si>
    <t>Trình độ CM cần tăng cường</t>
  </si>
  <si>
    <t xml:space="preserve">Số lượng </t>
  </si>
  <si>
    <t>Thời gian dự kiến (tháng)</t>
  </si>
  <si>
    <t>Đề xuất đơn vị đi TCCM</t>
  </si>
  <si>
    <t>Chế độ hỗ trợ tăng cường chuyên môn</t>
  </si>
  <si>
    <t>Nội dung thuyết minh dự toán hoặc căn cứ xây dựng dự toán</t>
  </si>
  <si>
    <t>4=1*2*4800 (nếu đi tăng cường cho BLV 4= 1*2*9000)</t>
  </si>
  <si>
    <t>TTYT AN DƯƠNG (2026+2027+2028+2029+2030)</t>
  </si>
  <si>
    <t>Thành tiền 5 năm</t>
  </si>
  <si>
    <t>Bác sĩ</t>
  </si>
  <si>
    <t>TTYT An Dương</t>
  </si>
  <si>
    <t>Cử Bác sĩ tăng cường cho TYT phường</t>
  </si>
  <si>
    <t>TTYT Cát Hải (2026+2027+2028+2029+2030)</t>
  </si>
  <si>
    <t xml:space="preserve">Trung tâm Y tế Cát Hải </t>
  </si>
  <si>
    <t xml:space="preserve">Bác sĩ chuyên khoa Sản </t>
  </si>
  <si>
    <t xml:space="preserve">BV Phụ sản HP </t>
  </si>
  <si>
    <t xml:space="preserve">BV Kiến An </t>
  </si>
  <si>
    <t xml:space="preserve">Bác sĩ chuyên khoa Ngoại </t>
  </si>
  <si>
    <t xml:space="preserve">BV Hữu Nghị Việt Tiệp </t>
  </si>
  <si>
    <t xml:space="preserve">Bv  Thủy Nguyên </t>
  </si>
  <si>
    <t>TTYT Dương Kinh (2026+2027+2028+2029+2030)</t>
  </si>
  <si>
    <t>Nội khoa, y khoa</t>
  </si>
  <si>
    <t>TYT phường Hưng Đạo</t>
  </si>
  <si>
    <t>TYT phường Dương Kinh</t>
  </si>
  <si>
    <t>Trung tâm Y tế Hải An</t>
  </si>
  <si>
    <t>Chuyên khoa Mắt</t>
  </si>
  <si>
    <t>Bệnh viện Mắt Hải Phòng</t>
  </si>
  <si>
    <t>Hiện nay, TTYT Hải An chưa có Bác sỹ có CCHN/GPHN chuyên khoa Mắt (đã cử bác sỹ đi học)</t>
  </si>
  <si>
    <t>Trung tâm Y tế Kiến Thụy</t>
  </si>
  <si>
    <t>Mắt</t>
  </si>
  <si>
    <t>Nội soi tiêu hóa</t>
  </si>
  <si>
    <t>Bệnh viện  Việt Tiệp</t>
  </si>
  <si>
    <t>Chụp cắt lớp vi tính</t>
  </si>
  <si>
    <t>Nội khoa</t>
  </si>
  <si>
    <t>Ngoại khoa</t>
  </si>
  <si>
    <t>Đơn vị y tế công lập tuyến thành phố</t>
  </si>
  <si>
    <t>Hồi sức cấp cứu</t>
  </si>
  <si>
    <t>TTYT Lê Chân</t>
  </si>
  <si>
    <t>Đa khoa</t>
  </si>
  <si>
    <t>TYT Lê Chân, số 1</t>
  </si>
  <si>
    <t xml:space="preserve">Khám bệnh, chữa bệnh tại 03 TYT </t>
  </si>
  <si>
    <t>TYT An Biên,  số 1</t>
  </si>
  <si>
    <t>TYT An Biên,  số 2</t>
  </si>
  <si>
    <t>TYT Lê Chân, số 2</t>
  </si>
  <si>
    <t>….</t>
  </si>
  <si>
    <t>TYT Lê Chân, số 3</t>
  </si>
  <si>
    <t>…</t>
  </si>
  <si>
    <t>TTYT Tiên Lãng</t>
  </si>
  <si>
    <t>Khoa Ngoại-Sản</t>
  </si>
  <si>
    <t>Sản khoa</t>
  </si>
  <si>
    <t>TYT</t>
  </si>
  <si>
    <t>TYT Tiên Lãng 1 và TYT Tân Minh 2 chưa có hộ sinh</t>
  </si>
  <si>
    <t>Khoa YHCT-PHCN</t>
  </si>
  <si>
    <t>YHCT</t>
  </si>
  <si>
    <t>TYT Quyết Thắng 2, Tiên Lãng 3, Tân Minh 3, Tiên Minh 3</t>
  </si>
  <si>
    <t>Bác sỹ các khoa</t>
  </si>
  <si>
    <t>Bác sỹ</t>
  </si>
  <si>
    <t>Xã Tiên Lãng (có BS đang học CCHN) và xã Tiên Minh (có 1 BS)</t>
  </si>
  <si>
    <t>TTYT QUÂN DÂN Y BẠCH LONG VĨ (2026+2027+2028+2029+2030)</t>
  </si>
  <si>
    <t>Trung tâm Y tế quân dân y Bạch Long Vĩ</t>
  </si>
  <si>
    <t>Bệnh viện Hữu nghị Việt Tiệp</t>
  </si>
  <si>
    <t xml:space="preserve">Điểm a khoản 5 Điều 2 Nghị quyết 10/2023/NQ-HĐND ngày 08/12/2023 </t>
  </si>
  <si>
    <t>Bệnh viện Phụ sản Hải Phòng</t>
  </si>
  <si>
    <t>Bệnh viện Kiến An</t>
  </si>
  <si>
    <t>II</t>
  </si>
  <si>
    <t>III</t>
  </si>
  <si>
    <t>IV</t>
  </si>
  <si>
    <t>TTYT Bình Giang (2026+2027+2028+2029+2030)</t>
  </si>
  <si>
    <t>TTYT Bình Giang</t>
  </si>
  <si>
    <t>Bệnh viện Đa khoa Hải Dương</t>
  </si>
  <si>
    <t>Trạm Y tế xã Đường An, số 3</t>
  </si>
  <si>
    <t>Bác sĩ Y khoa</t>
  </si>
  <si>
    <t>Bệnh viện Phụ sản Hải Dương</t>
  </si>
  <si>
    <t>Trạm Y tế xã Kẻ Sặt, số 1</t>
  </si>
  <si>
    <t>Trạm Y tế xã Thượng Hồng, số 2</t>
  </si>
  <si>
    <t>Tai mũi họng</t>
  </si>
  <si>
    <t>Trạm Y tế xã Bình Giang, số 3</t>
  </si>
  <si>
    <t xml:space="preserve">Trung tâm Y tế Chí Linh </t>
  </si>
  <si>
    <t>Trung tâm Y tế Chí Linh</t>
  </si>
  <si>
    <t>Nội tiết</t>
  </si>
  <si>
    <t>Hồi sức</t>
  </si>
  <si>
    <t>Tim mạch</t>
  </si>
  <si>
    <t>Truyền nhiễm</t>
  </si>
  <si>
    <t>TTYT Kim  Thành (2026+2027+2028+2029+2030)</t>
  </si>
  <si>
    <t>Trung tâm Y tế Hải Dương (2026+2027+2028+2029+2030)</t>
  </si>
  <si>
    <t>Đọc kết quả CT</t>
  </si>
  <si>
    <t>Bệnh viện đa khoa Hải Dương</t>
  </si>
  <si>
    <t>Điểm b khoản 5 Điều 2 Nghị quyết 10/2023/NQ-HĐND</t>
  </si>
  <si>
    <t>Chụp kết quả CT</t>
  </si>
  <si>
    <t xml:space="preserve">Siêu âm Mạch </t>
  </si>
  <si>
    <t>Bệnh viện Bạch Mai</t>
  </si>
  <si>
    <t>Điểm a khoản 5 Điều 2 Nghị quyết 10/2023/NQ-HĐND</t>
  </si>
  <si>
    <t>Chấn Thương</t>
  </si>
  <si>
    <t>Gây mê hồi sức</t>
  </si>
  <si>
    <t>Bệnh viện mắt TW</t>
  </si>
  <si>
    <t>Bệnh viện tai mũi họng TW</t>
  </si>
  <si>
    <t>TTYT Nam Sách (2026+2027+2028+2029+2030)</t>
  </si>
  <si>
    <t>Trạm Y tế xã Hợp Tiến</t>
  </si>
  <si>
    <t>TTYT Nam Sách</t>
  </si>
  <si>
    <t>Theo mô hình quản lý các bệnh mạn tính về tuyến xã thì Trung tâm Y tế tăng cường hỗ trợ phát hiện những trường hợp bệnh mạn tính có biến chứng và phối hợp tư vấn cho chỉ định cận lâm sàng phù hợp</t>
  </si>
  <si>
    <t>Trạm Y tế xã Trần Phú</t>
  </si>
  <si>
    <t>Hỗ trợ, tăng cường về các kỹ thuật kế hoạch hóa gia đình và một số cấp cứu cơ bản về sản khoa</t>
  </si>
  <si>
    <t>Trạm Y tế xã An Phú</t>
  </si>
  <si>
    <t>Trạm Y tế xã Thái Tân</t>
  </si>
  <si>
    <t>Trạm Y tế xã Nam Sách</t>
  </si>
  <si>
    <t>TTYT Thanh Miện (2026+2027+2028+2029+2030)</t>
  </si>
  <si>
    <t xml:space="preserve">Bác sỹ Nội khoa
</t>
  </si>
  <si>
    <t>TTYT Thanh Miện</t>
  </si>
  <si>
    <t>Đơn vị tính: nghìn đồng</t>
  </si>
  <si>
    <t xml:space="preserve">TÊN KỸ THUẬT CHUYỂN GIAO </t>
  </si>
  <si>
    <t>ĐƠN VỊ CHUYỂN GIAO</t>
  </si>
  <si>
    <t>ĐƠN VỊ NHẬN CHUYỂN GIAO</t>
  </si>
  <si>
    <t>Số cán bộ chuyển giao</t>
  </si>
  <si>
    <t>Số cán bộ nhận chuyển giao</t>
  </si>
  <si>
    <t>Thời gian chuyển giao</t>
  </si>
  <si>
    <t>Kinh phí hỗ trợ cho CB chuyển giao</t>
  </si>
  <si>
    <t>Kinh phí hỗ trợ cho CB nhận chuyển giao</t>
  </si>
  <si>
    <t>Cộng</t>
  </si>
  <si>
    <t>Tổng số tháng chuyển giao</t>
  </si>
  <si>
    <t>Trong đó thời gian chuyển giao ở đơn vị tuyến trên</t>
  </si>
  <si>
    <t>Trong đó thời gian chuyển giao tại đơn vị đề xuất</t>
  </si>
  <si>
    <t>Năm</t>
  </si>
  <si>
    <t>KP nhóm 1+2</t>
  </si>
  <si>
    <t>KP nhóm 3+4</t>
  </si>
  <si>
    <t>TỔNG CỘNG</t>
  </si>
  <si>
    <t>5 năm</t>
  </si>
  <si>
    <t>Nhóm 1+2</t>
  </si>
  <si>
    <t>Nhóm 3+4</t>
  </si>
  <si>
    <t xml:space="preserve"> Năm 2030</t>
  </si>
  <si>
    <t>CHI TIẾT:</t>
  </si>
  <si>
    <t>Bệnh viện Sức khỏe Tâm thần Hải Phòng</t>
  </si>
  <si>
    <t>I</t>
  </si>
  <si>
    <t>Nhận chuyển giao từ tuyến thành phố</t>
  </si>
  <si>
    <t>Cấp cứu ngừng hô hấp tuần hoàn nâng cao</t>
  </si>
  <si>
    <t>Bệnh viện Việt Tiệp</t>
  </si>
  <si>
    <t>Bệnh viện Sức khỏe Tâm thần HP</t>
  </si>
  <si>
    <t>Năm  2027</t>
  </si>
  <si>
    <t>Vận chuyển người bệnh cấp cứu</t>
  </si>
  <si>
    <t>Năm  2028</t>
  </si>
  <si>
    <t>Thông khí nhân tạo không xâm nhập phương thức CpAp</t>
  </si>
  <si>
    <t>Năm  2029</t>
  </si>
  <si>
    <t>Thông khí nhân tạo không xâm nhập bipap</t>
  </si>
  <si>
    <t>Nhận chuyển giao từ tuyến Trung ương</t>
  </si>
  <si>
    <t>Các liệu pháp tâm lý trong điều trị rối loạn tâm thần</t>
  </si>
  <si>
    <t>BV Tâm thần TƯ 1</t>
  </si>
  <si>
    <t>Bệnh viện Sức khỏe Tâm Thần HP</t>
  </si>
  <si>
    <t>Bệnh viện Y học cổ truyền Hải Phòng</t>
  </si>
  <si>
    <t>Mãng châm</t>
  </si>
  <si>
    <t>BV YHCT Hải Phòng</t>
  </si>
  <si>
    <t>TTYT Kiến Thụy</t>
  </si>
  <si>
    <t>TTYT Cát Hải</t>
  </si>
  <si>
    <t>Nhĩ châm</t>
  </si>
  <si>
    <t>TTYT Hải An</t>
  </si>
  <si>
    <t>Đ S đề nghị</t>
  </si>
  <si>
    <t>TTYT Đồ Sơn</t>
  </si>
  <si>
    <t>Năm  2030</t>
  </si>
  <si>
    <t>BV Kiến An</t>
  </si>
  <si>
    <t>Xoa bóp bấm huyệt giảm đau do Ung thư</t>
  </si>
  <si>
    <t>BV YHCT TW</t>
  </si>
  <si>
    <t>BV YHCT HP</t>
  </si>
  <si>
    <t>Điện mãng châm điều trị béo phì</t>
  </si>
  <si>
    <t>Hỏa long cứu</t>
  </si>
  <si>
    <t>Xoa bóp bấm huyệt điều trị liệt nửa người</t>
  </si>
  <si>
    <t>BV YHCH TW</t>
  </si>
  <si>
    <t>Phương pháp tác động cột sống</t>
  </si>
  <si>
    <t>Bệnh viện Y học cổ truyền Hải Dương</t>
  </si>
  <si>
    <t>Kỹ thuật Nội soi hậu môn ống cứng can thiệp - tiêm xơ búi trĩ</t>
  </si>
  <si>
    <t xml:space="preserve">BV YHCT TP HCM </t>
  </si>
  <si>
    <t>Khoa Ngoại tổng hợp - Phụ khoa, Bệnh viện YHCT Hải Dương</t>
  </si>
  <si>
    <t xml:space="preserve">Khoản 2 Mục III Hướng dẫn số 01/HD-SYT ngày 07/3/2024 </t>
  </si>
  <si>
    <t>Phẫu thuật điều trị rò hậu môn phức tạp và điều trị các bệnh lý hậu môn trực tràng</t>
  </si>
  <si>
    <t xml:space="preserve">BV YHCT TƯ </t>
  </si>
  <si>
    <t>Kiểm soát tư thế và vận động cho người bệnh Parkinson</t>
  </si>
  <si>
    <t>BV Lão khoa trung ương</t>
  </si>
  <si>
    <t>Khoa Ngũ quan - Lão, Bệnh viện YHCT Hải Dương</t>
  </si>
  <si>
    <t>Khoản 2 Mục III Hướng dẫn số 01/HD-SYT ngày 07/3/2025</t>
  </si>
  <si>
    <t>Cấy chỉ điều trị 
hội chứng Tự kỉ</t>
  </si>
  <si>
    <t>Khoa Phục hồi chức năng - Nhi, Bệnh viện YHCT Hải Dương</t>
  </si>
  <si>
    <t>Khoản 2 Mục III Hướng dẫn số 01/HD-SYT ngày 07/3/2026</t>
  </si>
  <si>
    <t>Điều trị bằng Laser công suất thấp nội mạch</t>
  </si>
  <si>
    <t>BV Lão khoa TW</t>
  </si>
  <si>
    <t>Khoa Nội tổng hợp, BV YHCT Hải Dương</t>
  </si>
  <si>
    <t>Khoản 2 Mục III Hướng dẫn số 01/HD-SYT ngày 07/3/2027</t>
  </si>
  <si>
    <t>Kết hợp YHCT với YHHĐ Trong chẩn đoán và điều trị bệnh phụ khoa</t>
  </si>
  <si>
    <t>Kết hợp YHCT với YHHĐ Trong chẩn đoán và điều trị bệnh lý nam học</t>
  </si>
  <si>
    <t>YHCT chẩn đoán điều trị bệnh trĩ</t>
  </si>
  <si>
    <t>Kỹ thuật bóc tách, phá dính khớp vai</t>
  </si>
  <si>
    <t>BV 103</t>
  </si>
  <si>
    <t>Khoa Cấp cứu - HSTC, Bệnh viện YHCT Hải Dương</t>
  </si>
  <si>
    <t>1</t>
  </si>
  <si>
    <t>Trầm cảm ở người cao tuổi</t>
  </si>
  <si>
    <t>Thủy châm, điện châm
 và điện nhĩ châm điều trị bệnh tự kỉ</t>
  </si>
  <si>
    <t>Kỹ thuật gây tê phẫu thuật cắt da thừa hậu môn</t>
  </si>
  <si>
    <t>YHCT chẩn đoán điều trị bệnh mày đay, sẩn ngứa</t>
  </si>
  <si>
    <t>Tiểu tiện không tự chủ ở người cao tuổi</t>
  </si>
  <si>
    <t>Xoa bóp bấm huyệt điều trị đái dầm</t>
  </si>
  <si>
    <t>Kết hợp YHCT với YHHĐ Trong chẩn đoán và điều trị bệnh viêm tắc mạch chi</t>
  </si>
  <si>
    <t xml:space="preserve">Tiêm nội khớp dưới hướng dẫn siêu âm </t>
  </si>
  <si>
    <t>Bệnh viện E</t>
  </si>
  <si>
    <t>Bệnh viện Đa khoa An Lão</t>
  </si>
  <si>
    <t xml:space="preserve">Soi bàng quang </t>
  </si>
  <si>
    <t>Soi bàng quang, lấy dị vật, sỏi</t>
  </si>
  <si>
    <t>Nội soi thận ống mềm tán sỏi thận</t>
  </si>
  <si>
    <t xml:space="preserve">Nội soi niệu quản để đặt thông JJ hoặc rút thông JJ </t>
  </si>
  <si>
    <t xml:space="preserve">Phẫu thuật mở rộng điểm lệ </t>
  </si>
  <si>
    <t xml:space="preserve">Nội soi thận ống mềm gắp sỏi thận </t>
  </si>
  <si>
    <t>Phẫu thuật lấy mỡ dưới da mi (trên, dưới, 2 mi)</t>
  </si>
  <si>
    <t>Lấy da mi sa (mi trên, mi dưới, 2 mi) có hoặc không lấy mỡ dưới da mi</t>
  </si>
  <si>
    <t>Bệnh viện đa khoa Vĩnh Bảo</t>
  </si>
  <si>
    <t>Vá nhĩ đơn thuần</t>
  </si>
  <si>
    <t>BVHN Việt Tiệp</t>
  </si>
  <si>
    <t>BVĐK Vĩnh Bảo</t>
  </si>
  <si>
    <t>Phẫu thuật vá nhĩ bằng nội soi</t>
  </si>
  <si>
    <t>Phẫu thuật tạo hình nếp da góc mắt trong</t>
  </si>
  <si>
    <t>BV Mắt Hải Phòng</t>
  </si>
  <si>
    <t>Phẫu thuật thừa da mi trên</t>
  </si>
  <si>
    <t>Phẫu thuật nội soi khâu thủng dạ dày</t>
  </si>
  <si>
    <t>Phẫu thuật nội soi cắt túi mật</t>
  </si>
  <si>
    <t>Phẫu thuật nội soi cắt ruột thừa, lau rửa ổ bụng, dẫn lưu ( viêm phúc mạc)</t>
  </si>
  <si>
    <t>Phẫu thuật cắt polyp mũi bằng laser</t>
  </si>
  <si>
    <t>Phẫu thuật cắt phanh lưỡi</t>
  </si>
  <si>
    <t>Gây mê phẫu thuật nội soi cắt ruột thừa + rửa bụng</t>
  </si>
  <si>
    <t>Gây mê phẫu thuật nội soi khâu thủng dạ dày</t>
  </si>
  <si>
    <t>Thận nhân tạo chu kỳ</t>
  </si>
  <si>
    <t>Phẫu thuật tạo nếp mí mắt 2 bên</t>
  </si>
  <si>
    <t>Gây mê phẫu thuật nội  soi cắt túi mật</t>
  </si>
  <si>
    <t>Treo cung mày</t>
  </si>
  <si>
    <t xml:space="preserve">Gây mê nội soi niệu quản tán sỏi bằng laser </t>
  </si>
  <si>
    <t>Phẫu thuật mở xoang hàm để lấy chóp chân răng hoặc răng ngầm</t>
  </si>
  <si>
    <t>Mở rộng lỗ lệ</t>
  </si>
  <si>
    <t>Cắt bỏ túi lệ</t>
  </si>
  <si>
    <t>Gây mê phẫu thuật lấy máu tụ dưới màng cứng cấp tính</t>
  </si>
  <si>
    <t>Bệnh viện đa khoa Đôn Lương</t>
  </si>
  <si>
    <t>Siêu âm sản khoa</t>
  </si>
  <si>
    <t>BVĐK Đôn Lương</t>
  </si>
  <si>
    <t>Siêu âm tuyến giáp</t>
  </si>
  <si>
    <t>Đặt ống nội khí quản</t>
  </si>
  <si>
    <t>Bệnh viện trẻ em</t>
  </si>
  <si>
    <t>Bệnh viện phụ sản</t>
  </si>
  <si>
    <t>TRUNG TÂM Y TẾ AN DƯƠNG</t>
  </si>
  <si>
    <t>BV Việt Tiệp</t>
  </si>
  <si>
    <t>Phẫu thuật nội soi thoát vị bẹn trong phúc mạc 1 bên/2 bên</t>
  </si>
  <si>
    <t>Phẫu thuật nội soi thoát vị bẹn ngoài phúc mạc 1 bên/2 bên</t>
  </si>
  <si>
    <t xml:space="preserve">TTYT Dương Kinh </t>
  </si>
  <si>
    <t>TTYT Dương Kinh</t>
  </si>
  <si>
    <t>Trung tâm Y tế Đồ Sơn</t>
  </si>
  <si>
    <t>Ghi điện não đồ thông thường</t>
  </si>
  <si>
    <t>Bệnh viện Sức khỏe tâm thần Hải Phòng</t>
  </si>
  <si>
    <t>Bệnh viện Y học cổ truyền Hải phòng</t>
  </si>
  <si>
    <t>Đặt nội khí quản</t>
  </si>
  <si>
    <t>Tăng cường năng lực công tác cấp cứu</t>
  </si>
  <si>
    <t>Thông khí nhân tạo không xâm nhập phương thức CPAP ≤ 8 giờ</t>
  </si>
  <si>
    <t>Trung tâm Y tế Kiến An</t>
  </si>
  <si>
    <t>Kéo năn bó bột</t>
  </si>
  <si>
    <t>Tít dụng cụ</t>
  </si>
  <si>
    <t>Cấy chỉ</t>
  </si>
  <si>
    <t>Nội soi đại trực tráng</t>
  </si>
  <si>
    <t>Quản lý bệnh viêm gan B</t>
  </si>
  <si>
    <t>Phẫu thuật nội soi ruột thừa, khâu lỗ thủng dạ dày</t>
  </si>
  <si>
    <t>Thận nhân tạo</t>
  </si>
  <si>
    <t>Trung tâm Y tế Tiên Lãng</t>
  </si>
  <si>
    <t>Phẫu thuật điều trị thoát vị bẹn bằng phương pháp Lichtenstein</t>
  </si>
  <si>
    <t>Phẫu thuật khâu phục hồi thành bụng do toác vết mổ</t>
  </si>
  <si>
    <t>Chọc tháo /dò dịch màng phổi, chọc hút khí màng phổi</t>
  </si>
  <si>
    <t>Tiêm nội khớp</t>
  </si>
  <si>
    <t>Khâu tử cung do nạo thủng</t>
  </si>
  <si>
    <t>BV Phụ sản</t>
  </si>
  <si>
    <t>Phấu thuật bảo tồn tử cung do vỡ tử cung</t>
  </si>
  <si>
    <t>xét nghiệm HbA1C</t>
  </si>
  <si>
    <t>xét nghiệm máu lắng tự động</t>
  </si>
  <si>
    <t>xét nghiệm đông máu</t>
  </si>
  <si>
    <t xml:space="preserve"> Hồi sức cấp cứu nhi cơ bản</t>
  </si>
  <si>
    <t>BV Nhi HP</t>
  </si>
  <si>
    <t>1BS+1ĐD</t>
  </si>
  <si>
    <t>Đo thông khí phổi</t>
  </si>
  <si>
    <t>BV Phổi</t>
  </si>
  <si>
    <t>BV Phụ Sản</t>
  </si>
  <si>
    <t>Phấu thuật nội soi phụ khoa</t>
  </si>
  <si>
    <t xml:space="preserve">Gây mê cho PT nội soi </t>
  </si>
  <si>
    <t>Phẫu thuật nội soi tiêu hoá</t>
  </si>
  <si>
    <t>Nội soi can thiệp tiêu hoá</t>
  </si>
  <si>
    <t>Đặt catherter, thở máy</t>
  </si>
  <si>
    <t>Hồi sức cấp cứu nội</t>
  </si>
  <si>
    <t>Siêu âm tim</t>
  </si>
  <si>
    <t>điện giải đồ</t>
  </si>
  <si>
    <t>Siêu âm tại giường</t>
  </si>
  <si>
    <t>Chọc dò dịch não tủy, dịch màng bụng</t>
  </si>
  <si>
    <t>Chọc hút/dẫn lưu dịch màng phổi</t>
  </si>
  <si>
    <t>PT nội soi bóc nhân xơ tử cung</t>
  </si>
  <si>
    <t>PT nội soi cắt khối chửa ngoài tử cung</t>
  </si>
  <si>
    <t>PT nội soi cắt u nang buồng trứng</t>
  </si>
  <si>
    <t>Phẫu thuật mở cắt u buồng trứng hoặc cắt phần phụ</t>
  </si>
  <si>
    <t>Lấy máu động mạch quay làm khí máu</t>
  </si>
  <si>
    <t>Thở máy không xâm nhập (thở CPAP, Thở BIPAP)</t>
  </si>
  <si>
    <t>Đo tải lượng virus</t>
  </si>
  <si>
    <t>Điện não đồ</t>
  </si>
  <si>
    <t>BV SK tâm thần</t>
  </si>
  <si>
    <t>Làm lại thành âm đạo, tầng sinh môn</t>
  </si>
  <si>
    <t>Cắt bỏ âm hộ đơn thuần</t>
  </si>
  <si>
    <t>Trắc nghiệm tâm lý Beck</t>
  </si>
  <si>
    <t>Trắc nghiệm tâm lý Raven</t>
  </si>
  <si>
    <t>Trắc nghiệm tâm lý Zung</t>
  </si>
  <si>
    <t>Trắc nghiệm tâm lý Wais và Wics (thang Weschler)</t>
  </si>
  <si>
    <t>Siêu âm cơ xương khớp</t>
  </si>
  <si>
    <t>Phẫu thuật nội soi tái tạo dây chằng chéo trước</t>
  </si>
  <si>
    <t>chọc hút nước tiểu trên xương mu</t>
  </si>
  <si>
    <t>Chọc dò dịch ổ bụng xét nghiệm</t>
  </si>
  <si>
    <t>Chọc hút tế bào bằng kim nhỏ</t>
  </si>
  <si>
    <t>Chọc hút tế bào phần mềm bằng kim nhỏ</t>
  </si>
  <si>
    <t>Hút dịch khớp gối</t>
  </si>
  <si>
    <t>Hút dịch khớp khuỷu</t>
  </si>
  <si>
    <t>Siêu âm Dopler mạch máu</t>
  </si>
  <si>
    <t>Siêu âm Dopler tim</t>
  </si>
  <si>
    <t xml:space="preserve">Dẫn lưu màng phổi, ổ áp xe phổi dưới hướng dẫn siêu âm </t>
  </si>
  <si>
    <t xml:space="preserve">Thay canuyn mở khí quản </t>
  </si>
  <si>
    <t>Siêu âm màng phổi cấp cứu</t>
  </si>
  <si>
    <t>Phấu thuật nội soi cắt tiền liệt tuyến</t>
  </si>
  <si>
    <t>Đặt catheter tĩnh mạch/tĩnh mạch trung tâm/Đo áp lực tĩnh mạch trung tâm</t>
  </si>
  <si>
    <t>Phẫu thuật nội soi cắt khối chửa ngoài tử cung</t>
  </si>
  <si>
    <t>BV Phụ sản Hải Dương</t>
  </si>
  <si>
    <t>Theo quy định</t>
  </si>
  <si>
    <t>Phẫu thuật nội soi cắt u nang buồng trứng kèm triệt sản</t>
  </si>
  <si>
    <t>Phẫu thuật nội soi cắt u nang buồng trứng xoắn</t>
  </si>
  <si>
    <t>Phẫu thuật nội soi u nang buồng trứng</t>
  </si>
  <si>
    <t>Mổ nội soi thoát vị bẹn</t>
  </si>
  <si>
    <t>BV Đa khoa Hải Dương</t>
  </si>
  <si>
    <t>Nội soi can thiệp cắt Polyp ống tiêu hóa</t>
  </si>
  <si>
    <t>BVĐK Hải Dương</t>
  </si>
  <si>
    <t>Tán sỏi nội soi ngược dòng đường dưới</t>
  </si>
  <si>
    <t>Trung tâm Y tế Kim Thành</t>
  </si>
  <si>
    <t>Điều trị tiêu sợi huyết cấp cứu</t>
  </si>
  <si>
    <t>Trung tâm Y tế Kim thành</t>
  </si>
  <si>
    <t>Kỹ thuật tiêu sợi huyết trong điều trị nhồi máu não cấp</t>
  </si>
  <si>
    <t>Phẫu Thuật nội soi sỏi bàng quang</t>
  </si>
  <si>
    <t>Phẫu thuật nội soi niệu quản đoạn thấp</t>
  </si>
  <si>
    <t>Phẫu Thuật nội soi u sơ tiền liệt tuyến</t>
  </si>
  <si>
    <t>Trung tâm Y tế Kinh Môn</t>
  </si>
  <si>
    <t>Nuôi cấp vi khuẩn và làm kháng sinh đồ</t>
  </si>
  <si>
    <t>Trung tâm Y tế Nam Sách</t>
  </si>
  <si>
    <t>Hàng năm Trung tâm có khoảng hơn 300 bệnh nhân chuyển viện về cácbệnh: chấn thương sọ não, bệnh nhân tai biến, đau bụng chưa rõ nguyên nhân</t>
  </si>
  <si>
    <t>Chạy thận nhân tạo</t>
  </si>
  <si>
    <t>Khu vực Nam Sách quản lý khoảng 50 bệnh nhân mắc bệnh thận mán tính cần phải chạy thận. Trong khi đó các khu vực phía Tây Hải Phòng đang quá tải</t>
  </si>
  <si>
    <t>Phẫu thuật nội soi ổ bụng</t>
  </si>
  <si>
    <t xml:space="preserve">Hàng năm Trung tâm có khoảng 5 bệnh nhân thủng tạng rỗng phải chuyển viện </t>
  </si>
  <si>
    <t>Phẫu thuật nội soi sản khoa</t>
  </si>
  <si>
    <t>BV Phụ Sản Hải Dương</t>
  </si>
  <si>
    <t>Có nhiều bệnh nhân có nhu cầu phẫu thuật nội soi về sản khoa</t>
  </si>
  <si>
    <t>Nội soi đại trực tràng</t>
  </si>
  <si>
    <t>Trung tâm chưa triển khai kỹ thuật Nội soi đại tràng mà lượng bệnh nhân mắc bệnh đại tràng ngày càng nhiều</t>
  </si>
  <si>
    <t>Siêu âm và tiêm nội khớp</t>
  </si>
  <si>
    <t>Hàng năm Trung tâm có khoảng gần 100 bệnh nhân chuyển viện bệnh về khớp</t>
  </si>
  <si>
    <t>Trung tâm Y tế Ninh Giang</t>
  </si>
  <si>
    <t>Mổ Phaco</t>
  </si>
  <si>
    <t>TTYT Ninh Giang</t>
  </si>
  <si>
    <t>BV đa khoa Hải Dương</t>
  </si>
  <si>
    <t>Phẫu thuật cắt Amydal</t>
  </si>
  <si>
    <t>Phẫu thuật cắt túi mật nội soi</t>
  </si>
  <si>
    <t>Phẫu thuật chấn thương - vết thương ngực</t>
  </si>
  <si>
    <t>Phẫu thuật nội soi cơ bản</t>
  </si>
  <si>
    <t>Nội soi can thiệp đường tiêu hóa trên</t>
  </si>
  <si>
    <t>Phẫu thuật thay khớp gối cơ bản</t>
  </si>
  <si>
    <t>Bệnh viện Hữu nghị Việt Đức</t>
  </si>
  <si>
    <t>Nội soi tán sỏi đường mật trong mổ</t>
  </si>
  <si>
    <t>Phẫu thuật u não</t>
  </si>
  <si>
    <t>Tán sỏi qua da</t>
  </si>
  <si>
    <t>Mở thông dạ dày qua nội soi</t>
  </si>
  <si>
    <t>Nội soi cầm máu trong xuất huyết dạ dày</t>
  </si>
  <si>
    <t>Nhuộm và đọc tiêu bản cắt lạnh</t>
  </si>
  <si>
    <t>Ứng dụng hóa mô miễn dịch trong giải phẫu bệnh</t>
  </si>
  <si>
    <t>Đặt máy tạo nhịp vĩnh viễn</t>
  </si>
  <si>
    <t>Phẫu thuật nội soi khớp vai</t>
  </si>
  <si>
    <t>Phẫu thuật cắt thùy phổi nội soi</t>
  </si>
  <si>
    <t>Phẫu thuật cắt gan</t>
  </si>
  <si>
    <t>Phẫu thuật hẹp niệu đạo</t>
  </si>
  <si>
    <t xml:space="preserve">Phẫu thuật cắt toàn bộ tuyến tiền liệt </t>
  </si>
  <si>
    <t>Nội soi can thiệp cắt u dưới niêm mạc thành ống tiêu hóa</t>
  </si>
  <si>
    <t>Phẫu thuật thay đoạn động mạch chủ bụng</t>
  </si>
  <si>
    <t xml:space="preserve">Phẫu thuật điều trị thiếu máu chi mạn tính </t>
  </si>
  <si>
    <t>Phẫu thuật thay khớp vai</t>
  </si>
  <si>
    <t>Phẫu thuật cắt khối tá tụy nội soi</t>
  </si>
  <si>
    <t>Phẫu thuật nội soi điều trị ung thư thực quản</t>
  </si>
  <si>
    <t>Phẫu thuật tim hở</t>
  </si>
  <si>
    <t>Bệnh viện Phụ sản Trung ương</t>
  </si>
  <si>
    <t>Xử trí tai biến trong chuyển dạ</t>
  </si>
  <si>
    <t>Xử trí sản bệnh lý</t>
  </si>
  <si>
    <t>Phẫu thuật nội soi phụ khoa cơ bản</t>
  </si>
  <si>
    <t>Phẫu thuật nội soi phụ khoa nâng cao</t>
  </si>
  <si>
    <t>Phẫu thuật nội soi buồng tử cung</t>
  </si>
  <si>
    <t>Soi và đốt cổ tử cung</t>
  </si>
  <si>
    <t>Siêu âm sản phụ khoa cơ bản</t>
  </si>
  <si>
    <t>Siêu âm sản phụ khoa nâng cao</t>
  </si>
  <si>
    <t>Hỗ trợ sinh sản (IUI)</t>
  </si>
  <si>
    <t>Chụp tử cung – vòi tử cung</t>
  </si>
  <si>
    <t>Thay máu sơ sinh</t>
  </si>
  <si>
    <t>Bệnh viện Nhi Hải Phòng</t>
  </si>
  <si>
    <t>Điện não đồ thường quy</t>
  </si>
  <si>
    <t>Chọc dịch tủy sống</t>
  </si>
  <si>
    <t>Kỹ thuật nhổ răng số 8 mọc lệch</t>
  </si>
  <si>
    <t>Khâu kết mạc</t>
  </si>
  <si>
    <t>TTYT Cẩm Giàng</t>
  </si>
  <si>
    <t> Khâu giác mạc</t>
  </si>
  <si>
    <t>Phẫu thuật quặm</t>
  </si>
  <si>
    <t> Nội soi thực quản, dạ dày, tá tràng kết hợp sinh thiết</t>
  </si>
  <si>
    <t>Siêu âm doppler động mạch tử cung</t>
  </si>
  <si>
    <t>Siêu âm doppler động mạch, tĩnh mạch chi dưới</t>
  </si>
  <si>
    <t>Sinh thiết u, tế bào học, dịch tổ chức</t>
  </si>
  <si>
    <t>Phẫu thuật mở xoang hàm để lấy chóp răng hoặc răng ngầm</t>
  </si>
  <si>
    <t>Nội soi thực quản - dạ dày - tá tràng có dùng thuốc tiền mê</t>
  </si>
  <si>
    <t>Dương Kinh đề xuất</t>
  </si>
  <si>
    <t>Nội soi đại trực tràng toàn bộ ống mềm có dùng thuốc tiền mê</t>
  </si>
  <si>
    <t>Chụp cắt lớp vi tính lồng ngực không tiêm thuốc cản  quang( từ 1-32 dãy)</t>
  </si>
  <si>
    <t>Chụp cắt lớp vi tính tầng trên ổ bụng thường quy (gồm: chụp cắt lớp vi tính gan - mật, tụy, lách, dạ dày - tá tràng.v.v.) (từ 1-32 dãy)</t>
  </si>
  <si>
    <t>Chụp cắt lớp vi tính bụng - tiểu khung thường quy (từ 1-32 dãy)</t>
  </si>
  <si>
    <t>Chụp CLVT sọ não không tiêm thuốc cản  quang ( từ 1-32 dãy)</t>
  </si>
  <si>
    <t>Kéo giãn cột sống</t>
  </si>
  <si>
    <t>Điện phân dẫn thuốc</t>
  </si>
  <si>
    <t>TTYT Kim Thành</t>
  </si>
  <si>
    <t>Chụp cắt lớp vi tính khớp thường quy không tiêm thuốc cản  quang (từ 1-32 dãy)</t>
  </si>
  <si>
    <t>Chụp cắt lớp vi tính  cột sống không tiêm thuốc cản  quang( từ 1-32 dãy)</t>
  </si>
  <si>
    <t> Laser châm</t>
  </si>
  <si>
    <t>Phẫu thuật điều trị rò hậu môn đơn giản</t>
  </si>
  <si>
    <t>Phẫu thuật kết hợp xương gãy xương đòn</t>
  </si>
  <si>
    <t>Phẫu thuật lấy thai lần đầu</t>
  </si>
  <si>
    <t>Phẫu thuật nội soi sỏi bàng quang</t>
  </si>
  <si>
    <t>Chụp  cắt lớp vi tính    xương chi không tiêm thuốc cản  quang ( từ 1-32 dãy)</t>
  </si>
  <si>
    <t>Cắt dạ dày hình chêm</t>
  </si>
  <si>
    <t>Phẫu thuật nội soi u xơ tiền liệt tuyến</t>
  </si>
  <si>
    <t>Phẫu thuật nội soi cắt trực tràng thấp</t>
  </si>
  <si>
    <t>Phẫu thuật điều trị vết thương - chấn thương mạch máu chi</t>
  </si>
  <si>
    <t>Phẫu thuật tạo thông động - tĩnh mạch để chạy thận nhân tạo</t>
  </si>
  <si>
    <t>Phẫu thuật cắt đường thông động - tĩnh mạch chạy thận nhân tạo do biến chứng hoặc sau ghép thận</t>
  </si>
  <si>
    <t>Phẫu thuật điều trị phồng, giả phồng động mạch chi</t>
  </si>
  <si>
    <t>Phẫu thuật nội soi cắt đoạn đại tràng</t>
  </si>
  <si>
    <t>Phẫu thuật nội soi hàn khớp cổ chân</t>
  </si>
  <si>
    <t>Phẫu thuật nội soi điều trị viêm mỏm trên lồi cầu ngoài</t>
  </si>
  <si>
    <t>Phẫu thuật nội soi cắt hoạt mạc viêm khớp khuỷu</t>
  </si>
  <si>
    <t>Phẫu thuật nội soi giải phóng ống cổ tay</t>
  </si>
  <si>
    <t>Nội soi phế quản gây mê</t>
  </si>
  <si>
    <t>Nội soi phế quản gây mê có sinh thiết</t>
  </si>
  <si>
    <t>Phẫu thuật nội soi cắt bán phần dưới dạ dày + nạo hạch D2</t>
  </si>
  <si>
    <t>Phẫu thuật mở rộng điểm lệ</t>
  </si>
  <si>
    <t>BVĐK An Lão</t>
  </si>
  <si>
    <t xml:space="preserve">Phẫu thuật tạo hình nếp </t>
  </si>
  <si>
    <t>Treo cung mày trực tiếp</t>
  </si>
  <si>
    <t>Mở rộng điểm lệ</t>
  </si>
  <si>
    <t>Cát bỏ túi lệ</t>
  </si>
  <si>
    <t>Tổng: 8</t>
  </si>
  <si>
    <t>Giai đoạn 2026-2030</t>
  </si>
  <si>
    <t>Bệnh viện Mắt Trung Ương</t>
  </si>
  <si>
    <t>Ghép nội mô giác mạc</t>
  </si>
  <si>
    <t>Ghép giác mạc nhân tạo</t>
  </si>
  <si>
    <t>Bệnh viện đa khoa Thủy Nguyên</t>
  </si>
  <si>
    <t>Siêu âm Doppler tim</t>
  </si>
  <si>
    <t>BVĐK Thủy Nguyên</t>
  </si>
  <si>
    <t>Can thiệp Laser mạch máu ĐT suy van TM chi dưới</t>
  </si>
  <si>
    <t>Kỹ thuật thở máy không xâm nhập</t>
  </si>
  <si>
    <t>Holter huyết áp</t>
  </si>
  <si>
    <t>Đo chức năng hô hấp</t>
  </si>
  <si>
    <t>BV Phổi HP</t>
  </si>
  <si>
    <t>Xử trí người bệnh đột quỵ não và sử dụng thuốc điều trị huyết cấp cứu</t>
  </si>
  <si>
    <t>Chăm sóc NB đột quỵ não và sử dụng thuốc tiêu huyết khối</t>
  </si>
  <si>
    <t>Thận nhân tạo cơ bản</t>
  </si>
  <si>
    <t>Phẫu thuật Phaco</t>
  </si>
  <si>
    <t>Đại học Y Dược Hải Phòng</t>
  </si>
  <si>
    <t>Phẫu thuật Mộng</t>
  </si>
  <si>
    <t>Siêu âm và phẫu thuật nội soi</t>
  </si>
  <si>
    <t>Kỹ thuật xoa bóp, bấm huyệt</t>
  </si>
  <si>
    <t>Chăm sóc người bệnh tâm thần kinh</t>
  </si>
  <si>
    <t>BV Tâm thần HP</t>
  </si>
  <si>
    <t>Phục hồi chức năng</t>
  </si>
  <si>
    <t>Y học cổ truyền</t>
  </si>
  <si>
    <t>Chụp CT, MRI</t>
  </si>
  <si>
    <t>Hồi sức tích cực cơ bản</t>
  </si>
  <si>
    <t>Chăm sóc người bệnh hồi sức tích cực</t>
  </si>
  <si>
    <t>Chăm sóc người bệnh da liễu</t>
  </si>
  <si>
    <t>Phẫu thuật nội soi mũi xoang</t>
  </si>
  <si>
    <t>Đại học Y Hà Nội</t>
  </si>
  <si>
    <t>Siêu âm Mắt</t>
  </si>
  <si>
    <t>BV Mắt Trung Ương</t>
  </si>
  <si>
    <t>Nội soi tán sỏi qua da</t>
  </si>
  <si>
    <t>Khẳng định nhiễm HIV bằng kỹ thuật xét nghiệm nhanh</t>
  </si>
  <si>
    <t>Viện Vệ sinh dịch tễ Trung Ương</t>
  </si>
  <si>
    <t>Quản lý chất lượng phòng xét nghiệm</t>
  </si>
  <si>
    <t>Viện Khoa học quản lý y tế</t>
  </si>
  <si>
    <t>Kiểm soát chất lượng xét nghiệm y học</t>
  </si>
  <si>
    <t>Quản lý chất lượng HIV</t>
  </si>
  <si>
    <t>Chuyên khoa Thận tiết niệu</t>
  </si>
  <si>
    <t>Chăm sóc và phụ tiêm nội khớp</t>
  </si>
  <si>
    <t>BV Trung ương Quân đội 108</t>
  </si>
  <si>
    <t>Phẫu thuật cắt A-nạo VA</t>
  </si>
  <si>
    <t>BV Tai Mũi Họng Trung Ương</t>
  </si>
  <si>
    <t>Đặt ống thông khí màng nhĩ</t>
  </si>
  <si>
    <t>Đo thính lực - nhĩ lượng</t>
  </si>
  <si>
    <t>OCT</t>
  </si>
  <si>
    <t>Hướng dẫn thực hiện bộ tiêu chí đánh giá mức chất lượng PXN y học do Bộ Y tế ban hành</t>
  </si>
  <si>
    <t>Số lượng</t>
  </si>
  <si>
    <t>Tổng</t>
  </si>
  <si>
    <t>Chi tiết từng đơn vị đề xuất dự toán:</t>
  </si>
  <si>
    <t>Mỗi viên chức được hưởng tối đa 3 lần trong giai đoạn 2026 - 2030</t>
  </si>
  <si>
    <t>Đào tạo văn bằng</t>
  </si>
  <si>
    <t>Đào tạo chứng chỉ</t>
  </si>
  <si>
    <t>Tổng 4 nhóm</t>
  </si>
  <si>
    <t>Tổng cộng (đơn vị  tự chủ nhóm 1,2)</t>
  </si>
  <si>
    <t>Tổng cộng (đơn vị  tự chủ nhóm 3,4)</t>
  </si>
  <si>
    <t>T</t>
  </si>
  <si>
    <t>Tổng 5 năm</t>
  </si>
  <si>
    <t>Chuyển giao kỹ thuật</t>
  </si>
  <si>
    <t>Tăng cường tuyến dưới</t>
  </si>
  <si>
    <t>Thu hút</t>
  </si>
  <si>
    <t>Đơn vị tự chủ nhóm 1, 2</t>
  </si>
  <si>
    <t>Đơn vị tự chủ nhóm 3, 4</t>
  </si>
  <si>
    <t>ĐV: triệu đồng</t>
  </si>
  <si>
    <t>Đơn vị tính: nghìn  đồng</t>
  </si>
  <si>
    <t>Nhóm 3,4</t>
  </si>
  <si>
    <t>Học phí</t>
  </si>
  <si>
    <t>Hỗ trợ 4,8tr</t>
  </si>
  <si>
    <t>Tổng 5 năm 2026-2030</t>
  </si>
  <si>
    <t>Tiến sĩ</t>
  </si>
  <si>
    <t>Nhóm 1, 2</t>
  </si>
  <si>
    <t>Bác sĩ CKII</t>
  </si>
  <si>
    <t>BLV:  4 người tăng cường tổng 18 tháng, số tiền: 162.000 nghìn đồng</t>
  </si>
  <si>
    <t>Số cán bộ đi chuyển giao</t>
  </si>
  <si>
    <t>Bổ sung số tháng</t>
  </si>
  <si>
    <t>TỔNG KINH PHÍ THU HÚT 2026-2030</t>
  </si>
  <si>
    <t>A</t>
  </si>
  <si>
    <t>THU HÚT BÁC SĨ  (I+II+III)</t>
  </si>
  <si>
    <t>I.</t>
  </si>
  <si>
    <t>TUYẾN THÀNH PHỐ</t>
  </si>
  <si>
    <t>BS+ĐD</t>
  </si>
  <si>
    <t>Chuyên khoa chuyên ngành thông thường</t>
  </si>
  <si>
    <t>Tiến sĩ Y khoa</t>
  </si>
  <si>
    <t>Bác sĩ chuyên khoa cấp II</t>
  </si>
  <si>
    <t>Bác sĩ Nội trú</t>
  </si>
  <si>
    <t>Thạc sĩ Y khoa, Bác sĩ chuyên khoa I</t>
  </si>
  <si>
    <t>Bác sĩ Đa khoa/ Y khoa</t>
  </si>
  <si>
    <t>Chuyên khoa chuyên ngành tâm thần, giải phẫu bệnh, pháp y, pháp y tâm thần, truyền nhiễm và hồi sức cấp cứu</t>
  </si>
  <si>
    <t>Điều dưỡng</t>
  </si>
  <si>
    <t>II.</t>
  </si>
  <si>
    <t>TUYẾN KHU VỰC</t>
  </si>
  <si>
    <t>III.</t>
  </si>
  <si>
    <t>TUYẾN XÃ</t>
  </si>
  <si>
    <t>THU HÚT ĐIỀU DƯỠNG</t>
  </si>
  <si>
    <t>Tuyến tỉnh</t>
  </si>
  <si>
    <t>Khu vựực</t>
  </si>
  <si>
    <t>Xã</t>
  </si>
  <si>
    <t xml:space="preserve">Tổng bs: </t>
  </si>
  <si>
    <t>TS</t>
  </si>
  <si>
    <t>CK II</t>
  </si>
  <si>
    <t>NT</t>
  </si>
  <si>
    <t>Ths, CK I</t>
  </si>
  <si>
    <t xml:space="preserve">BSĐK </t>
  </si>
  <si>
    <t>CN khó</t>
  </si>
  <si>
    <t>Thuờng</t>
  </si>
  <si>
    <t>Tốt nghiệp sau đại học và đại học Y khoa tại đơn vị nhóm 3, 4</t>
  </si>
  <si>
    <t>Nội trú</t>
  </si>
  <si>
    <t>BS Y khoa</t>
  </si>
  <si>
    <t>Sau ĐH</t>
  </si>
  <si>
    <t>TỔNG (1+2+3+4+5)</t>
  </si>
  <si>
    <t>THU HÚT BÁC SĨ</t>
  </si>
  <si>
    <t>Đơn vị</t>
  </si>
  <si>
    <t>ĐH</t>
  </si>
  <si>
    <t>ĐV nhóm 3, 4</t>
  </si>
  <si>
    <t>Tỏng cộng</t>
  </si>
  <si>
    <t>SỐ LƯỢNG ĐÀO TẠO GIAI ĐOẠN 2023-2030</t>
  </si>
  <si>
    <t>Trình độ đào tạo</t>
  </si>
  <si>
    <t>Số lượng đã đào tạo</t>
  </si>
  <si>
    <t>Số lượng đào tạo dự kiến giai đoạn 2026-2030</t>
  </si>
  <si>
    <r>
      <t xml:space="preserve">Ghi chú </t>
    </r>
    <r>
      <rPr>
        <sz val="12"/>
        <color theme="1"/>
        <rFont val="Times New Roman"/>
        <family val="1"/>
      </rPr>
      <t>(có thể lập chi tiết yêu cầu về chuyên ngành đào tạo)</t>
    </r>
  </si>
  <si>
    <t>Năm 2023</t>
  </si>
  <si>
    <t>Năm 2024</t>
  </si>
  <si>
    <t>Đơn vị tự chủ nhóm 1,2 (ĐV tự chi trả)</t>
  </si>
  <si>
    <t>Đơn vị tự chủ nhóm 3,4 (Ngân sách cấp)</t>
  </si>
  <si>
    <t>Đào tạo chứng chỉ chuyên môn (thời gian khóa đào tạo tối thiểu 01 tháng; không bao gồm các chứng chỉ quản lý lãnh đạo, quản lý bệnh viện, quản lý điều dưỡng,..)</t>
  </si>
  <si>
    <t>(Kèm theo Đề án Nâng cao năng lực hệ thống y tế thành phố Hải Phòng đến năm 2030, tầm nhìn đến năm 2045)</t>
  </si>
  <si>
    <t>Phụ lục 8B: KINH PHÍ TĂNG CƯỚNG CHUYÊN MÔN CHO TUYẾN DƯỚI</t>
  </si>
  <si>
    <t>4tr8/tháng; nếu chuyển giao cho BLV 9tr/tháng</t>
  </si>
  <si>
    <t>PHỤ LỤC 9: DỰ TOÁN KINH PHÍ HỖ TRỢ NHẬN VÀ CHUYỂN GIAO KỸ THUẬT GIAI ĐOẠN 2026-2030</t>
  </si>
  <si>
    <t>PHỤ LỤC 10: KINH PHÍ THỰC HIỆN CHẾ ĐỘ ĐÃI NGỘ</t>
  </si>
  <si>
    <t>ĐVT: triệu đồng</t>
  </si>
  <si>
    <t>Ước TB 1 năm</t>
  </si>
  <si>
    <t>Bảng thu hút 50%BS và bỏ điều dưỡng</t>
  </si>
  <si>
    <t xml:space="preserve">Tổng 5 năm </t>
  </si>
  <si>
    <t>4tr8/tháng;  chuyển giao thành công được 9tr/kỹ thuật/ người</t>
  </si>
  <si>
    <t>(1) Chuyển giao kỹ thuật: Người đi chuyển giao 4tr8/tháng; nếu chuyển giao cho BLV 9tr/tháng. Người nhận chuyển giao được'4tr8/tháng;  chuyển giao thành công được 9tr/ 01 kỹ thuật/ người</t>
  </si>
  <si>
    <t>(2) Hỗ trợ trong đào tạo</t>
  </si>
  <si>
    <t>(a) Hỗ trợ 100% chi phí đào tạo theo mức thu của các cơ sở đào tạo cho tất cả viên chức trong ĐVSN</t>
  </si>
  <si>
    <t>(b) Hỗ trợ một lần: khi có bằng tốt nghiệp đối với viên chức y tế là bác sĩ, dược sĩ, điều dưỡng, hộ sinh, kỹ thuật viên có trình độ đại học tại các cơ sở y tế công lập tự chủ nhóm 3, nhóm 4 được cử đi đào tạo chuyên môn sau đại học; viên chức đang công tác tại trạm y tế, đặc khu, trung tâm y tế khu vực được cử đi đào tạo bác sĩ như sau: Tiến sĩ: 100.000.000 đồng/người. Chuyên khoa cấp II: 72.000.000 đồng/người. Bác sĩ nội trú: 63.000.000 đồng/người. Thạc sĩ, chuyên khoa cấp I: 48.000.000 đồng/người. Bác sĩ: 27.000.000 đồng/người.Được hỗ trợ một lần bằng 1,5 lần mức hỗ trợ tương ứng  trên nếu học chuyên ngành khó . Hỗ trợ một lần khi học xong  chứng chỉ 9.000,000 đồng/ người khi học xong chứng chỉ.</t>
  </si>
  <si>
    <t>(3) Tăng cường chuyên môn cho tuyến dưới (ngoài mức hỗ trợ chế độ chính sách theo quy định hiện hành): Mức hỗ trợ 9.000.000 đồng/người/tháng đối với viên chức tại các đơn vị y tế tuyến Trung ương được cử đi  tăng cường chuyên môn cho đơn vị y tế công lập tự chủ nhóm 3, nhóm 4 của thành phố; hoặc viên chức chuyên ngành y tế tại các đơn vị y tế công lập thuộc thành phố được cử đi đào tạo, tăng cường chuyên môn tại đặc khu Bạch Long Vĩ.  Mức hỗ trợ 4.800.000 đồng/người/tháng đối với viên chức chuyên ngành y tế tại các đơn vị y tế công lập thuộc thành phố được cử đi đào tạo, tăng cường chuyên môn cho đơn vị y tế công lập tự chủ nhóm 3, nhóm 4 thuộc thành phố (bao gồm cả viên chức các trung tâm y tế khu vực được cử đi đào tạo, đi tăng cường chuyên môn cho trạm y tế).</t>
  </si>
  <si>
    <t>(4) Thu hút.  (1) Mức thu hút dự kiến như sau:
a) -  Tiến sĩ Y khoa: 400 triệu đồng/người
-  Bác sĩ Chuyên khoa II: 300 triệu đồng/người
-  Bác sĩ nội trú: 250 triệu đồng/người
- Thạc sĩ Y khoa, Bác sĩ chuyên khoa I: 200 triệu đồng/người
-  Bác sĩ (đại học): 150 triệu đồng/người
- Điều dưỡng/hộ sinh/kỹ thuật y: 80 triệu đồng/người
(b) Đối với Bác sĩ các chuyên khoa chuyên ngành tâm thần, giải phẫu bệnh, pháp y, pháp y tâm thần, truyền nhiễm và hồi sức cấp cứu thì mức thu hút bằng 1,2 lần mức thu hút tại mục (a).
(c) Bác sĩ về công tác tại Trạm Y tế thì mức thu hút bằng 1,5 mức thu hút tại mục (a).
* Số lượng thu hút bằng 50% số thiếu so với số còn thiếu</t>
  </si>
  <si>
    <t>TỔNG HỢP DỰ TOÁN KINH PHÍ THỰC HIỆN 2026-2030 (THU HÚT 50% BS SỐ THIẾU)</t>
  </si>
  <si>
    <t>SỐ LƯỢNG ĐÀO TẠO DỰ KIẾN</t>
  </si>
  <si>
    <t>Kinh phí (triệu đồng)</t>
  </si>
  <si>
    <t>Tổng cộng kinh phí 
Giai đoạn 2026-2030</t>
  </si>
  <si>
    <t>Học phí nhóm 1,2 và tổng nhóm 3,4</t>
  </si>
  <si>
    <t>số đào tạo</t>
  </si>
  <si>
    <t>Trợ cấp một lần</t>
  </si>
  <si>
    <t>nhóm 1,2</t>
  </si>
  <si>
    <t>nhóm 3,4</t>
  </si>
  <si>
    <t>mức lương cơ sở 1 lần</t>
  </si>
  <si>
    <t>mức hỗ trợ 1 lần đối tượng ít hấp dẫn</t>
  </si>
  <si>
    <t>3tr</t>
  </si>
  <si>
    <t>5tr</t>
  </si>
  <si>
    <t>Cử đi năm 2023</t>
  </si>
  <si>
    <t>đã học từ năm 2023</t>
  </si>
  <si>
    <t>Cử đi năm 2024</t>
  </si>
  <si>
    <t>Cử đi năm 2025</t>
  </si>
  <si>
    <t>Cử đi năm 2026</t>
  </si>
  <si>
    <t>Cử đi năm 2027</t>
  </si>
  <si>
    <t>Cử đi năm 2028</t>
  </si>
  <si>
    <t>Cử đi năm 2029</t>
  </si>
  <si>
    <t>Cử đi năm 2030</t>
  </si>
  <si>
    <t>Tiền học được 5 tháng</t>
  </si>
  <si>
    <t>Cử đi năm 2022</t>
  </si>
  <si>
    <r>
      <t>Đào tạo chứng chỉ chuyên môn</t>
    </r>
    <r>
      <rPr>
        <i/>
        <sz val="9"/>
        <color theme="1"/>
        <rFont val="Times New Roman"/>
        <family val="1"/>
      </rPr>
      <t xml:space="preserve"> (thời gian khóa đào tạo tối thiểu 01 tháng; không bao gồm các chứng chỉ quản lý lãnh đạo, quản lý bệnh viện, quản lý điều dưỡng,..)</t>
    </r>
  </si>
  <si>
    <t>Số lươg đào tao trong 5 năm 2026 - 2030</t>
  </si>
  <si>
    <t>Tổng cộng 2022-2030</t>
  </si>
  <si>
    <t>Năm 2022</t>
  </si>
  <si>
    <t>Số lượng đào tạo dự kiến phải thanh toán kinh phí từ 2026-2030 (gồm các trường hợp đã được ĐT từ trước năm 2026)</t>
  </si>
  <si>
    <t>Tổng học phí và trợ cấp 1 lần</t>
  </si>
  <si>
    <t>Tổng học  phí và trơ cấp 1 lần</t>
  </si>
  <si>
    <t>Tổng 5 năm cử đi đào tạo từ 2026 - 2030</t>
  </si>
  <si>
    <t>Đào tạo</t>
  </si>
  <si>
    <t>Phụ lục 11: Kinh phí thực hiện chế độ thu hút bác sĩ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</si>
</sst>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00000"/>
  </numFmts>
  <fonts count="93"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b/>
      <sz val="11"/>
      <color theme="1"/>
      <name val="Times New Roman"/>
      <family val="1"/>
    </font>
    <font>
      <sz val="11"/>
      <color theme="1"/>
      <name val="Times New Roman"/>
      <family val="1"/>
    </font>
    <font>
      <b/>
      <sz val="12"/>
      <color theme="1"/>
      <name val="Times New Roman"/>
      <family val="1"/>
    </font>
    <font>
      <b/>
      <sz val="14"/>
      <color theme="1"/>
      <name val="Times New Roman"/>
      <family val="1"/>
    </font>
    <font>
      <sz val="12"/>
      <color theme="1"/>
      <name val="Times New Roman"/>
      <family val="1"/>
    </font>
    <font>
      <sz val="12"/>
      <name val="Times New Roman"/>
      <family val="1"/>
    </font>
    <font>
      <b/>
      <sz val="12"/>
      <name val="Times New Roman"/>
      <family val="1"/>
    </font>
    <font>
      <b/>
      <sz val="9"/>
      <color theme="1"/>
      <name val="Times New Roman"/>
      <family val="1"/>
    </font>
    <font>
      <b/>
      <i/>
      <sz val="12"/>
      <name val="Times New Roman"/>
      <family val="1"/>
    </font>
    <font>
      <b/>
      <i/>
      <sz val="12"/>
      <color theme="1"/>
      <name val="Times New Roman"/>
      <family val="1"/>
    </font>
    <font>
      <i/>
      <sz val="12"/>
      <name val="Times New Roman"/>
      <family val="1"/>
    </font>
    <font>
      <sz val="9"/>
      <color theme="1"/>
      <name val="Calibri"/>
      <family val="2"/>
      <scheme val="minor"/>
    </font>
    <font>
      <sz val="9"/>
      <color theme="1"/>
      <name val="Times New Roman"/>
      <family val="1"/>
    </font>
    <font>
      <b/>
      <sz val="9"/>
      <color theme="1"/>
      <name val="Calibri"/>
      <family val="2"/>
      <scheme val="minor"/>
    </font>
    <font>
      <sz val="9"/>
      <name val="Times New Roman"/>
      <family val="1"/>
    </font>
    <font>
      <sz val="9"/>
      <color rgb="FFFF0000"/>
      <name val="Times New Roman"/>
      <family val="1"/>
    </font>
    <font>
      <i/>
      <sz val="12"/>
      <color theme="1"/>
      <name val="Times New Roman"/>
      <family val="1"/>
    </font>
    <font>
      <b/>
      <sz val="10"/>
      <color theme="1"/>
      <name val="Times New Roman"/>
      <family val="1"/>
    </font>
    <font>
      <b/>
      <sz val="11"/>
      <name val="Times New Roman"/>
      <family val="1"/>
    </font>
    <font>
      <sz val="10"/>
      <color theme="1"/>
      <name val="Calibri"/>
      <family val="2"/>
      <scheme val="minor"/>
    </font>
    <font>
      <b/>
      <sz val="10"/>
      <color rgb="FFFF0000"/>
      <name val="Times New Roman"/>
      <family val="1"/>
    </font>
    <font>
      <b/>
      <sz val="14"/>
      <color rgb="FFFF0000"/>
      <name val="Times New Roman"/>
      <family val="1"/>
    </font>
    <font>
      <sz val="10"/>
      <color theme="1"/>
      <name val="Times New Roman"/>
      <family val="1"/>
    </font>
    <font>
      <sz val="11"/>
      <color rgb="FFFF0000"/>
      <name val="Times New Roman"/>
      <family val="1"/>
    </font>
    <font>
      <sz val="12"/>
      <color rgb="FFFF0000"/>
      <name val="Times New Roman"/>
      <family val="1"/>
    </font>
    <font>
      <sz val="12"/>
      <color theme="1"/>
      <name val="Calibri"/>
      <family val="2"/>
      <scheme val="minor"/>
    </font>
    <font>
      <b/>
      <sz val="13"/>
      <name val="Times New Roman"/>
      <family val="1"/>
    </font>
    <font>
      <i/>
      <sz val="13"/>
      <name val="Times New Roman"/>
      <family val="1"/>
    </font>
    <font>
      <b/>
      <sz val="10"/>
      <name val="Times New Roman"/>
      <family val="1"/>
    </font>
    <font>
      <sz val="11"/>
      <name val="Times New Roman"/>
      <family val="1"/>
    </font>
    <font>
      <b/>
      <i/>
      <sz val="10"/>
      <name val="Times New Roman"/>
      <family val="1"/>
    </font>
    <font>
      <sz val="10"/>
      <color rgb="FFFF0000"/>
      <name val="Times New Roman"/>
      <family val="1"/>
    </font>
    <font>
      <sz val="10"/>
      <name val="Times New Roman"/>
      <family val="1"/>
    </font>
    <font>
      <sz val="14"/>
      <name val="Calibri"/>
      <family val="2"/>
      <scheme val="minor"/>
    </font>
    <font>
      <b/>
      <sz val="18"/>
      <name val="Times New Roman"/>
      <family val="1"/>
    </font>
    <font>
      <b/>
      <sz val="20"/>
      <name val="Times New Roman"/>
      <family val="1"/>
    </font>
    <font>
      <sz val="13"/>
      <name val="Times New Roman"/>
      <family val="1"/>
      <charset val="163"/>
    </font>
    <font>
      <sz val="13"/>
      <name val="Times New Roman"/>
      <family val="1"/>
    </font>
    <font>
      <b/>
      <sz val="16"/>
      <color rgb="FFFF0000"/>
      <name val="Times New Roman"/>
      <family val="1"/>
    </font>
    <font>
      <b/>
      <sz val="9"/>
      <color theme="4"/>
      <name val="Times New Roman"/>
      <family val="1"/>
    </font>
    <font>
      <sz val="9"/>
      <color theme="4"/>
      <name val="Times New Roman"/>
      <family val="1"/>
    </font>
    <font>
      <sz val="13"/>
      <color theme="1"/>
      <name val="Times New Roman"/>
      <family val="1"/>
    </font>
    <font>
      <b/>
      <sz val="9"/>
      <name val="Times New Roman"/>
      <family val="1"/>
    </font>
    <font>
      <b/>
      <sz val="9"/>
      <color rgb="FF7030A0"/>
      <name val="Times New Roman"/>
      <family val="1"/>
    </font>
    <font>
      <sz val="9"/>
      <color rgb="FF7030A0"/>
      <name val="Times New Roman"/>
      <family val="1"/>
    </font>
    <font>
      <i/>
      <sz val="9"/>
      <color theme="1"/>
      <name val="Calibri"/>
      <family val="2"/>
      <scheme val="minor"/>
    </font>
    <font>
      <i/>
      <sz val="9"/>
      <name val="Times New Roman"/>
      <family val="1"/>
    </font>
    <font>
      <sz val="9"/>
      <color rgb="FFFF0000"/>
      <name val="Calibri"/>
      <family val="2"/>
      <scheme val="minor"/>
    </font>
    <font>
      <b/>
      <sz val="9"/>
      <color rgb="FFFF0000"/>
      <name val="Times New Roman"/>
      <family val="1"/>
    </font>
    <font>
      <sz val="14"/>
      <color rgb="FFC00000"/>
      <name val="Times New Roman"/>
      <family val="1"/>
    </font>
    <font>
      <b/>
      <sz val="13"/>
      <color theme="1"/>
      <name val="Times New Roman"/>
      <family val="1"/>
    </font>
    <font>
      <b/>
      <sz val="11"/>
      <color theme="1"/>
      <name val="Calibri"/>
      <family val="2"/>
      <charset val="163"/>
      <scheme val="minor"/>
    </font>
    <font>
      <b/>
      <sz val="12"/>
      <color theme="1"/>
      <name val="Calibri"/>
      <family val="2"/>
      <scheme val="minor"/>
    </font>
    <font>
      <i/>
      <sz val="12"/>
      <color theme="1"/>
      <name val="Calibri"/>
      <family val="2"/>
      <scheme val="minor"/>
    </font>
    <font>
      <i/>
      <sz val="12"/>
      <color rgb="FFFF0000"/>
      <name val="Times New Roman"/>
      <family val="1"/>
    </font>
    <font>
      <i/>
      <sz val="12"/>
      <color rgb="FFFF0000"/>
      <name val="Calibri"/>
      <family val="2"/>
      <scheme val="minor"/>
    </font>
    <font>
      <sz val="11"/>
      <name val="Calibri"/>
      <family val="2"/>
    </font>
    <font>
      <b/>
      <sz val="11"/>
      <color theme="1"/>
      <name val="Times New Roman"/>
      <family val="1"/>
      <charset val="163"/>
    </font>
    <font>
      <sz val="11"/>
      <color theme="1"/>
      <name val="Times New Roman"/>
      <family val="1"/>
      <charset val="163"/>
    </font>
    <font>
      <b/>
      <sz val="12"/>
      <color rgb="FFFF0000"/>
      <name val="Times New Roman"/>
      <family val="1"/>
    </font>
    <font>
      <i/>
      <u/>
      <sz val="14"/>
      <color theme="1"/>
      <name val="Times New Roman"/>
      <family val="1"/>
    </font>
    <font>
      <i/>
      <sz val="9"/>
      <color theme="1"/>
      <name val="Times New Roman"/>
      <family val="1"/>
    </font>
    <font>
      <i/>
      <sz val="11"/>
      <name val="Times New Roman"/>
      <family val="1"/>
    </font>
    <font>
      <i/>
      <sz val="11"/>
      <color theme="1"/>
      <name val="Times New Roman"/>
      <family val="1"/>
    </font>
    <font>
      <b/>
      <i/>
      <sz val="8"/>
      <name val="Times New Roman"/>
      <family val="1"/>
    </font>
    <font>
      <sz val="20"/>
      <name val="Calibri"/>
      <family val="2"/>
      <scheme val="minor"/>
    </font>
    <font>
      <sz val="11"/>
      <name val="Calibri"/>
      <family val="2"/>
      <scheme val="minor"/>
    </font>
    <font>
      <b/>
      <i/>
      <sz val="9"/>
      <color theme="1"/>
      <name val="Times New Roman"/>
      <family val="1"/>
    </font>
    <font>
      <sz val="9"/>
      <color rgb="FF0070C0"/>
      <name val="Times New Roman"/>
      <family val="1"/>
    </font>
    <font>
      <sz val="13"/>
      <color rgb="FFFF0000"/>
      <name val="Times New Roman"/>
      <family val="1"/>
    </font>
    <font>
      <b/>
      <sz val="13"/>
      <color rgb="FFFF0000"/>
      <name val="Times New Roman"/>
      <family val="1"/>
    </font>
    <font>
      <sz val="14"/>
      <color theme="1"/>
      <name val="Calibri"/>
      <family val="2"/>
      <scheme val="minor"/>
    </font>
    <font>
      <sz val="14"/>
      <color rgb="FFEE0000"/>
      <name val="Times New Roman"/>
      <family val="1"/>
    </font>
    <font>
      <i/>
      <sz val="9"/>
      <color theme="4"/>
      <name val="Times New Roman"/>
      <family val="1"/>
    </font>
    <font>
      <b/>
      <i/>
      <sz val="9"/>
      <color theme="1"/>
      <name val="Calibri"/>
      <family val="2"/>
      <scheme val="minor"/>
    </font>
    <font>
      <i/>
      <sz val="9"/>
      <color rgb="FFFF0000"/>
      <name val="Calibri"/>
      <family val="2"/>
      <scheme val="minor"/>
    </font>
    <font>
      <i/>
      <sz val="9"/>
      <color rgb="FF7030A0"/>
      <name val="Times New Roman"/>
      <family val="1"/>
    </font>
    <font>
      <b/>
      <sz val="9"/>
      <color rgb="FF7030A0"/>
      <name val="Calibri"/>
      <family val="2"/>
      <scheme val="minor"/>
    </font>
    <font>
      <sz val="9"/>
      <color rgb="FF7030A0"/>
      <name val="Calibri"/>
      <family val="2"/>
      <scheme val="minor"/>
    </font>
    <font>
      <i/>
      <sz val="9"/>
      <color rgb="FF7030A0"/>
      <name val="Calibri"/>
      <family val="2"/>
      <scheme val="minor"/>
    </font>
    <font>
      <i/>
      <sz val="9"/>
      <color rgb="FFFF0000"/>
      <name val="Times New Roman"/>
      <family val="1"/>
    </font>
    <font>
      <b/>
      <i/>
      <sz val="9"/>
      <color rgb="FFFF0000"/>
      <name val="Calibri"/>
      <family val="2"/>
      <scheme val="minor"/>
    </font>
    <font>
      <i/>
      <sz val="9"/>
      <color theme="4"/>
      <name val="Calibri"/>
      <family val="2"/>
      <scheme val="minor"/>
    </font>
    <font>
      <sz val="9"/>
      <color theme="4"/>
      <name val="Calibri"/>
      <family val="2"/>
      <scheme val="minor"/>
    </font>
    <font>
      <sz val="9"/>
      <name val="Calibri"/>
      <family val="2"/>
      <scheme val="minor"/>
    </font>
    <font>
      <i/>
      <sz val="9"/>
      <name val="Calibri"/>
      <family val="2"/>
      <scheme val="minor"/>
    </font>
    <font>
      <sz val="12"/>
      <color rgb="FF7030A0"/>
      <name val="Times New Roman"/>
      <family val="1"/>
    </font>
    <font>
      <b/>
      <i/>
      <sz val="9"/>
      <color rgb="FF7030A0"/>
      <name val="Calibri"/>
      <family val="2"/>
      <scheme val="minor"/>
    </font>
    <font>
      <sz val="12"/>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theme="1"/>
      </bottom>
      <diagonal/>
    </border>
    <border diagonalDown="1">
      <left style="thin">
        <color auto="1"/>
      </left>
      <right style="thin">
        <color auto="1"/>
      </right>
      <top style="thin">
        <color auto="1"/>
      </top>
      <bottom style="thin">
        <color auto="1"/>
      </bottom>
      <diagonal style="thin">
        <color auto="1"/>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43" fontId="1" fillId="0" borderId="0" applyFont="0" applyFill="0" applyBorder="0" applyAlignment="0" applyProtection="0"/>
    <xf numFmtId="0" fontId="60" fillId="0" borderId="0"/>
    <xf numFmtId="0" fontId="60" fillId="0" borderId="0"/>
  </cellStyleXfs>
  <cellXfs count="756">
    <xf numFmtId="0" fontId="0" fillId="0" borderId="0" xfId="0"/>
    <xf numFmtId="0" fontId="6" fillId="2" borderId="1" xfId="0" applyFont="1" applyFill="1" applyBorder="1" applyAlignment="1">
      <alignment horizontal="center" vertical="center" wrapText="1"/>
    </xf>
    <xf numFmtId="0" fontId="3" fillId="2" borderId="0" xfId="0" applyFont="1" applyFill="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5" fillId="2" borderId="0" xfId="0" applyFont="1" applyFill="1"/>
    <xf numFmtId="0" fontId="8" fillId="2" borderId="0" xfId="0" applyFont="1" applyFill="1"/>
    <xf numFmtId="0" fontId="3" fillId="2" borderId="0" xfId="0" applyFont="1" applyFill="1" applyAlignment="1">
      <alignment horizontal="center" vertical="center" wrapText="1"/>
    </xf>
    <xf numFmtId="0" fontId="5" fillId="2" borderId="0" xfId="0" applyFont="1" applyFill="1" applyAlignment="1">
      <alignment horizontal="center"/>
    </xf>
    <xf numFmtId="49" fontId="10" fillId="2" borderId="1" xfId="0" applyNumberFormat="1" applyFont="1" applyFill="1" applyBorder="1" applyAlignment="1">
      <alignment horizontal="center" vertical="center" wrapText="1"/>
    </xf>
    <xf numFmtId="164" fontId="10" fillId="2" borderId="1" xfId="1" applyNumberFormat="1"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0" fontId="4" fillId="2" borderId="0" xfId="0" applyFont="1" applyFill="1"/>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0" fillId="2" borderId="1" xfId="0" quotePrefix="1"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quotePrefix="1" applyFont="1" applyFill="1" applyBorder="1" applyAlignment="1">
      <alignment horizontal="left" vertical="center" wrapText="1"/>
    </xf>
    <xf numFmtId="3" fontId="9" fillId="2" borderId="1" xfId="1" applyNumberFormat="1" applyFont="1" applyFill="1" applyBorder="1" applyAlignment="1">
      <alignment horizontal="center" vertical="center" wrapText="1"/>
    </xf>
    <xf numFmtId="164" fontId="9" fillId="2" borderId="1" xfId="1" applyNumberFormat="1" applyFont="1" applyFill="1" applyBorder="1" applyAlignment="1">
      <alignment horizontal="center" vertical="center" wrapText="1"/>
    </xf>
    <xf numFmtId="0" fontId="9" fillId="2" borderId="0" xfId="0" quotePrefix="1" applyFont="1" applyFill="1" applyAlignment="1">
      <alignment horizontal="left" vertical="center" wrapText="1"/>
    </xf>
    <xf numFmtId="3" fontId="9" fillId="2" borderId="0" xfId="1" applyNumberFormat="1" applyFont="1" applyFill="1" applyBorder="1" applyAlignment="1">
      <alignment horizontal="center" vertical="center" wrapText="1"/>
    </xf>
    <xf numFmtId="164" fontId="9" fillId="2" borderId="0" xfId="1" applyNumberFormat="1" applyFont="1" applyFill="1" applyBorder="1" applyAlignment="1">
      <alignment horizontal="center" vertical="center" wrapText="1"/>
    </xf>
    <xf numFmtId="3" fontId="10" fillId="2" borderId="0" xfId="1" applyNumberFormat="1" applyFont="1" applyFill="1" applyBorder="1" applyAlignment="1">
      <alignment horizontal="center" vertical="center" wrapText="1"/>
    </xf>
    <xf numFmtId="3" fontId="10" fillId="2" borderId="0" xfId="1" applyNumberFormat="1" applyFont="1" applyFill="1" applyBorder="1" applyAlignment="1">
      <alignment horizontal="left" vertical="center"/>
    </xf>
    <xf numFmtId="3" fontId="10" fillId="2" borderId="0" xfId="1" applyNumberFormat="1" applyFont="1" applyFill="1" applyBorder="1" applyAlignment="1">
      <alignment horizontal="center" vertical="center"/>
    </xf>
    <xf numFmtId="164" fontId="9" fillId="2" borderId="0" xfId="1" applyNumberFormat="1" applyFont="1" applyFill="1" applyBorder="1" applyAlignment="1">
      <alignment horizontal="center" vertical="center"/>
    </xf>
    <xf numFmtId="3" fontId="9" fillId="2" borderId="0" xfId="1"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xf>
    <xf numFmtId="0" fontId="20" fillId="0" borderId="0" xfId="0" applyFont="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3" fillId="0" borderId="0" xfId="0" applyFont="1" applyAlignment="1">
      <alignment horizontal="center" vertical="center"/>
    </xf>
    <xf numFmtId="0" fontId="24"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25" fillId="0" borderId="1" xfId="0" applyNumberFormat="1" applyFont="1" applyBorder="1" applyAlignment="1">
      <alignment horizontal="center" vertical="center" wrapText="1"/>
    </xf>
    <xf numFmtId="165" fontId="21" fillId="0" borderId="1" xfId="1" applyNumberFormat="1" applyFont="1" applyFill="1" applyBorder="1" applyAlignment="1">
      <alignment vertical="center" wrapText="1"/>
    </xf>
    <xf numFmtId="165" fontId="21" fillId="0" borderId="1" xfId="1" applyNumberFormat="1" applyFont="1" applyFill="1" applyBorder="1" applyAlignment="1">
      <alignment horizontal="center" vertical="center" wrapText="1"/>
    </xf>
    <xf numFmtId="0" fontId="22" fillId="2" borderId="1" xfId="0" applyFont="1" applyFill="1" applyBorder="1" applyAlignment="1">
      <alignment vertical="center" wrapText="1"/>
    </xf>
    <xf numFmtId="0" fontId="22" fillId="2" borderId="0" xfId="0" applyFont="1" applyFill="1" applyAlignment="1">
      <alignment vertical="center" wrapText="1"/>
    </xf>
    <xf numFmtId="165" fontId="23" fillId="0" borderId="0" xfId="0" applyNumberFormat="1" applyFont="1"/>
    <xf numFmtId="0" fontId="23" fillId="0" borderId="0" xfId="0" applyFont="1"/>
    <xf numFmtId="0" fontId="21" fillId="4" borderId="1" xfId="0" applyFont="1" applyFill="1" applyBorder="1" applyAlignment="1">
      <alignment horizontal="center"/>
    </xf>
    <xf numFmtId="0" fontId="4" fillId="4" borderId="1" xfId="0" applyFont="1" applyFill="1" applyBorder="1"/>
    <xf numFmtId="0" fontId="5" fillId="4" borderId="1" xfId="0" applyFont="1" applyFill="1" applyBorder="1"/>
    <xf numFmtId="0" fontId="4" fillId="4" borderId="1" xfId="0" applyFont="1" applyFill="1" applyBorder="1" applyAlignment="1">
      <alignment horizontal="center"/>
    </xf>
    <xf numFmtId="165" fontId="4" fillId="4" borderId="1" xfId="0" applyNumberFormat="1" applyFont="1" applyFill="1" applyBorder="1" applyAlignment="1">
      <alignment horizontal="center"/>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165" fontId="7" fillId="0" borderId="0" xfId="0" applyNumberFormat="1" applyFont="1" applyAlignment="1">
      <alignment horizontal="center"/>
    </xf>
    <xf numFmtId="0" fontId="26" fillId="0" borderId="1" xfId="0" applyFont="1" applyBorder="1" applyAlignment="1">
      <alignment horizontal="center"/>
    </xf>
    <xf numFmtId="0" fontId="4"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5" fillId="0" borderId="1" xfId="0" applyNumberFormat="1" applyFont="1" applyBorder="1" applyAlignment="1">
      <alignment vertical="center"/>
    </xf>
    <xf numFmtId="0" fontId="5" fillId="0" borderId="1" xfId="0" applyFont="1" applyBorder="1" applyAlignment="1">
      <alignment wrapText="1"/>
    </xf>
    <xf numFmtId="0" fontId="5" fillId="0" borderId="0" xfId="0" applyFont="1" applyAlignment="1">
      <alignment wrapText="1"/>
    </xf>
    <xf numFmtId="165" fontId="8" fillId="0" borderId="1" xfId="0" applyNumberFormat="1" applyFont="1" applyBorder="1"/>
    <xf numFmtId="0" fontId="5" fillId="4" borderId="0" xfId="0" applyFont="1" applyFill="1" applyAlignment="1">
      <alignment horizontal="center" vertical="center"/>
    </xf>
    <xf numFmtId="0" fontId="5" fillId="0" borderId="1" xfId="0" applyFont="1" applyBorder="1"/>
    <xf numFmtId="0" fontId="4" fillId="0" borderId="1" xfId="0" applyFont="1" applyBorder="1" applyAlignment="1">
      <alignment horizontal="center"/>
    </xf>
    <xf numFmtId="165" fontId="4" fillId="0" borderId="1" xfId="0" applyNumberFormat="1" applyFont="1" applyBorder="1" applyAlignment="1">
      <alignment horizont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0" xfId="0" applyFont="1" applyAlignment="1">
      <alignment horizontal="center" vertical="center" wrapText="1"/>
    </xf>
    <xf numFmtId="3" fontId="4" fillId="0" borderId="1" xfId="0" applyNumberFormat="1" applyFont="1" applyBorder="1" applyAlignment="1">
      <alignment horizontal="right"/>
    </xf>
    <xf numFmtId="3" fontId="4" fillId="4" borderId="1" xfId="0" applyNumberFormat="1" applyFont="1" applyFill="1" applyBorder="1" applyAlignment="1">
      <alignment horizontal="center"/>
    </xf>
    <xf numFmtId="0" fontId="4" fillId="0" borderId="1" xfId="0" applyFont="1" applyBorder="1" applyAlignment="1">
      <alignment horizontal="right"/>
    </xf>
    <xf numFmtId="3" fontId="4" fillId="0" borderId="1" xfId="0" applyNumberFormat="1" applyFont="1" applyBorder="1"/>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vertical="center"/>
    </xf>
    <xf numFmtId="3" fontId="4" fillId="0" borderId="1" xfId="0" applyNumberFormat="1" applyFont="1" applyBorder="1" applyAlignment="1">
      <alignment horizontal="center"/>
    </xf>
    <xf numFmtId="0" fontId="21" fillId="4" borderId="1" xfId="0" applyFont="1" applyFill="1" applyBorder="1" applyAlignment="1">
      <alignment horizontal="center" vertical="center"/>
    </xf>
    <xf numFmtId="0" fontId="4" fillId="4" borderId="1" xfId="0" applyFont="1" applyFill="1" applyBorder="1" applyAlignment="1">
      <alignment vertical="center"/>
    </xf>
    <xf numFmtId="0" fontId="5" fillId="4" borderId="1" xfId="0" applyFont="1" applyFill="1" applyBorder="1" applyAlignment="1">
      <alignment vertical="center"/>
    </xf>
    <xf numFmtId="0" fontId="4" fillId="4" borderId="1" xfId="0" applyFont="1" applyFill="1" applyBorder="1" applyAlignment="1">
      <alignment horizontal="center" vertical="center"/>
    </xf>
    <xf numFmtId="165" fontId="4" fillId="4" borderId="1" xfId="0" applyNumberFormat="1" applyFont="1" applyFill="1" applyBorder="1" applyAlignment="1">
      <alignment horizontal="center" vertical="center"/>
    </xf>
    <xf numFmtId="0" fontId="23" fillId="0" borderId="0" xfId="0" applyFont="1" applyAlignment="1">
      <alignment vertical="center"/>
    </xf>
    <xf numFmtId="0" fontId="26" fillId="0" borderId="1" xfId="0" applyFont="1" applyBorder="1" applyAlignment="1">
      <alignment horizontal="center" vertical="center"/>
    </xf>
    <xf numFmtId="165" fontId="4" fillId="0" borderId="1" xfId="0" applyNumberFormat="1" applyFont="1" applyBorder="1" applyAlignment="1">
      <alignment horizontal="center" vertical="center"/>
    </xf>
    <xf numFmtId="3"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27" fillId="0" borderId="1" xfId="0" applyFont="1" applyBorder="1"/>
    <xf numFmtId="0" fontId="27" fillId="0" borderId="1" xfId="0" applyFont="1" applyBorder="1" applyAlignment="1">
      <alignment horizontal="center" vertical="center" wrapText="1"/>
    </xf>
    <xf numFmtId="0" fontId="28" fillId="0" borderId="11" xfId="0" applyFont="1" applyBorder="1"/>
    <xf numFmtId="0" fontId="4" fillId="4" borderId="1" xfId="0" applyFont="1" applyFill="1" applyBorder="1" applyAlignment="1">
      <alignment horizontal="center" wrapText="1"/>
    </xf>
    <xf numFmtId="165" fontId="4" fillId="4" borderId="1" xfId="1" applyNumberFormat="1" applyFont="1" applyFill="1" applyBorder="1" applyAlignment="1">
      <alignment horizontal="center" vertical="center"/>
    </xf>
    <xf numFmtId="3" fontId="4"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165" fontId="6" fillId="2" borderId="1" xfId="1" applyNumberFormat="1" applyFont="1" applyFill="1" applyBorder="1" applyAlignment="1">
      <alignment horizontal="center"/>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0" borderId="1" xfId="0" applyFont="1" applyBorder="1" applyAlignment="1">
      <alignment horizontal="center"/>
    </xf>
    <xf numFmtId="0" fontId="6" fillId="0" borderId="1" xfId="0" applyFont="1" applyBorder="1" applyAlignment="1">
      <alignment horizontal="center"/>
    </xf>
    <xf numFmtId="0" fontId="8" fillId="0" borderId="1" xfId="0" applyFont="1" applyBorder="1"/>
    <xf numFmtId="165" fontId="6" fillId="0" borderId="1" xfId="1" applyNumberFormat="1" applyFont="1"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wrapText="1"/>
    </xf>
    <xf numFmtId="165" fontId="8" fillId="0" borderId="1" xfId="0" applyNumberFormat="1" applyFont="1" applyBorder="1" applyAlignment="1">
      <alignment vertical="center"/>
    </xf>
    <xf numFmtId="0" fontId="8" fillId="0" borderId="0" xfId="0" applyFont="1" applyAlignment="1">
      <alignment horizontal="center" vertical="center" wrapText="1"/>
    </xf>
    <xf numFmtId="3" fontId="6" fillId="0" borderId="1" xfId="0" applyNumberFormat="1" applyFont="1" applyBorder="1" applyAlignment="1">
      <alignment horizontal="right"/>
    </xf>
    <xf numFmtId="0" fontId="6" fillId="0" borderId="1" xfId="0" applyFont="1" applyBorder="1"/>
    <xf numFmtId="3" fontId="6" fillId="0" borderId="1" xfId="0" applyNumberFormat="1" applyFont="1" applyBorder="1"/>
    <xf numFmtId="165" fontId="6" fillId="2" borderId="1" xfId="1" applyNumberFormat="1" applyFont="1" applyFill="1" applyBorder="1" applyAlignment="1">
      <alignment horizontal="center" vertical="center"/>
    </xf>
    <xf numFmtId="0" fontId="29" fillId="0" borderId="0" xfId="0" applyFont="1"/>
    <xf numFmtId="165" fontId="4" fillId="0" borderId="1" xfId="1" applyNumberFormat="1" applyFont="1" applyBorder="1" applyAlignment="1">
      <alignment horizontal="center" vertical="center"/>
    </xf>
    <xf numFmtId="0" fontId="5" fillId="0" borderId="3" xfId="0" applyFont="1" applyBorder="1" applyAlignment="1">
      <alignment horizontal="center" vertical="center"/>
    </xf>
    <xf numFmtId="3" fontId="5" fillId="0" borderId="1" xfId="0" applyNumberFormat="1" applyFont="1" applyBorder="1" applyAlignment="1">
      <alignment horizontal="center" vertical="center"/>
    </xf>
    <xf numFmtId="3" fontId="4" fillId="4" borderId="1" xfId="0" applyNumberFormat="1" applyFont="1" applyFill="1" applyBorder="1" applyAlignment="1">
      <alignment horizontal="right"/>
    </xf>
    <xf numFmtId="0" fontId="5" fillId="0" borderId="4" xfId="0" applyFont="1" applyBorder="1" applyAlignment="1">
      <alignment horizontal="left" vertical="center"/>
    </xf>
    <xf numFmtId="0" fontId="5" fillId="0" borderId="3" xfId="0" applyFont="1" applyBorder="1" applyAlignment="1">
      <alignment horizontal="center" vertical="center" wrapText="1"/>
    </xf>
    <xf numFmtId="3" fontId="5" fillId="0" borderId="3" xfId="0" applyNumberFormat="1" applyFont="1" applyBorder="1" applyAlignment="1">
      <alignment horizontal="right" vertical="center"/>
    </xf>
    <xf numFmtId="3" fontId="5" fillId="0" borderId="1" xfId="0" applyNumberFormat="1" applyFont="1" applyBorder="1" applyAlignment="1">
      <alignment horizontal="right" vertical="center"/>
    </xf>
    <xf numFmtId="0" fontId="0" fillId="0" borderId="0" xfId="0" applyAlignment="1">
      <alignment horizontal="center" vertical="center"/>
    </xf>
    <xf numFmtId="0" fontId="3" fillId="2" borderId="0" xfId="0" applyFont="1" applyFill="1"/>
    <xf numFmtId="0" fontId="2" fillId="2" borderId="0" xfId="0" applyFont="1" applyFill="1" applyAlignment="1">
      <alignment horizontal="center" vertical="center" wrapText="1"/>
    </xf>
    <xf numFmtId="0" fontId="2" fillId="2" borderId="0" xfId="0" applyFont="1" applyFill="1" applyAlignment="1">
      <alignment vertical="center" wrapText="1"/>
    </xf>
    <xf numFmtId="3" fontId="3" fillId="2" borderId="0" xfId="0" applyNumberFormat="1" applyFont="1" applyFill="1" applyAlignment="1">
      <alignment vertical="center" wrapText="1"/>
    </xf>
    <xf numFmtId="0" fontId="33" fillId="2" borderId="0" xfId="0" applyFont="1" applyFill="1" applyAlignment="1">
      <alignment vertical="center" wrapText="1"/>
    </xf>
    <xf numFmtId="0" fontId="33" fillId="2" borderId="0" xfId="0" applyFont="1" applyFill="1"/>
    <xf numFmtId="0" fontId="2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36" fillId="2" borderId="1" xfId="0" applyFont="1" applyFill="1" applyBorder="1" applyAlignment="1">
      <alignment vertical="center" wrapText="1"/>
    </xf>
    <xf numFmtId="0" fontId="36" fillId="2" borderId="0" xfId="0" applyFont="1" applyFill="1" applyAlignment="1">
      <alignment vertical="center" wrapText="1"/>
    </xf>
    <xf numFmtId="0" fontId="9" fillId="2" borderId="0" xfId="0" applyFont="1" applyFill="1"/>
    <xf numFmtId="0" fontId="33" fillId="2" borderId="1" xfId="0" applyFont="1" applyFill="1" applyBorder="1" applyAlignment="1">
      <alignment vertical="center" wrapText="1"/>
    </xf>
    <xf numFmtId="3" fontId="33" fillId="2" borderId="1" xfId="0" applyNumberFormat="1" applyFont="1" applyFill="1" applyBorder="1" applyAlignment="1">
      <alignment vertical="center" wrapText="1"/>
    </xf>
    <xf numFmtId="3" fontId="9" fillId="2" borderId="1" xfId="0" applyNumberFormat="1" applyFont="1" applyFill="1" applyBorder="1" applyAlignment="1">
      <alignment vertical="center" wrapText="1"/>
    </xf>
    <xf numFmtId="0" fontId="32" fillId="2" borderId="1" xfId="0" applyFont="1" applyFill="1" applyBorder="1" applyAlignment="1">
      <alignment vertical="center" wrapText="1"/>
    </xf>
    <xf numFmtId="0" fontId="32" fillId="2" borderId="0" xfId="0" applyFont="1" applyFill="1" applyAlignment="1">
      <alignment vertical="center" wrapText="1"/>
    </xf>
    <xf numFmtId="0" fontId="10" fillId="2" borderId="0" xfId="0" applyFont="1" applyFill="1"/>
    <xf numFmtId="0" fontId="9" fillId="2" borderId="0" xfId="0" applyFont="1" applyFill="1" applyAlignment="1">
      <alignment vertical="center" wrapText="1"/>
    </xf>
    <xf numFmtId="0" fontId="10" fillId="2" borderId="0" xfId="0" applyFont="1" applyFill="1" applyAlignment="1">
      <alignment vertical="center" wrapText="1"/>
    </xf>
    <xf numFmtId="0" fontId="3" fillId="2" borderId="1" xfId="0" applyFont="1" applyFill="1" applyBorder="1" applyAlignment="1">
      <alignment vertical="center" wrapText="1"/>
    </xf>
    <xf numFmtId="0" fontId="32" fillId="2" borderId="4" xfId="0" applyFont="1" applyFill="1" applyBorder="1" applyAlignment="1">
      <alignment vertical="center" wrapText="1"/>
    </xf>
    <xf numFmtId="0" fontId="32" fillId="2" borderId="2" xfId="0" applyFont="1" applyFill="1" applyBorder="1" applyAlignment="1">
      <alignment vertical="center" wrapText="1"/>
    </xf>
    <xf numFmtId="0" fontId="26" fillId="2" borderId="0" xfId="0" applyFont="1" applyFill="1"/>
    <xf numFmtId="0" fontId="36" fillId="2" borderId="0" xfId="0" applyFont="1" applyFill="1"/>
    <xf numFmtId="0" fontId="35" fillId="2" borderId="0" xfId="0" applyFont="1" applyFill="1"/>
    <xf numFmtId="0" fontId="5" fillId="2" borderId="0" xfId="0" applyFont="1" applyFill="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xf numFmtId="0" fontId="33" fillId="2" borderId="1" xfId="0" applyFont="1" applyFill="1" applyBorder="1"/>
    <xf numFmtId="3" fontId="33" fillId="2" borderId="1" xfId="0" applyNumberFormat="1" applyFont="1" applyFill="1" applyBorder="1"/>
    <xf numFmtId="0" fontId="9" fillId="2" borderId="1" xfId="0" applyFont="1" applyFill="1" applyBorder="1"/>
    <xf numFmtId="0" fontId="9" fillId="4" borderId="0" xfId="0" applyFont="1" applyFill="1" applyAlignment="1">
      <alignment vertical="center" wrapText="1"/>
    </xf>
    <xf numFmtId="0" fontId="9" fillId="4" borderId="0" xfId="0" applyFont="1" applyFill="1"/>
    <xf numFmtId="0" fontId="9" fillId="2" borderId="1" xfId="0" applyFont="1" applyFill="1" applyBorder="1" applyAlignment="1">
      <alignment horizontal="center" vertical="center" wrapText="1"/>
    </xf>
    <xf numFmtId="0" fontId="36" fillId="2" borderId="0" xfId="0" applyFont="1" applyFill="1" applyAlignment="1">
      <alignment vertical="center"/>
    </xf>
    <xf numFmtId="0" fontId="36" fillId="2" borderId="0" xfId="0" applyFont="1" applyFill="1" applyAlignment="1">
      <alignment wrapText="1"/>
    </xf>
    <xf numFmtId="0" fontId="32" fillId="2" borderId="0" xfId="0" applyFont="1" applyFill="1"/>
    <xf numFmtId="0" fontId="33" fillId="0" borderId="0" xfId="0" applyFont="1" applyAlignment="1">
      <alignment vertical="center" wrapText="1"/>
    </xf>
    <xf numFmtId="0" fontId="33" fillId="0" borderId="0" xfId="0" applyFont="1"/>
    <xf numFmtId="0" fontId="9" fillId="0" borderId="0" xfId="0" applyFont="1" applyAlignment="1">
      <alignment vertical="center" wrapText="1"/>
    </xf>
    <xf numFmtId="0" fontId="9" fillId="0" borderId="0" xfId="0" applyFont="1"/>
    <xf numFmtId="0" fontId="10" fillId="0" borderId="0" xfId="0" applyFont="1" applyAlignment="1">
      <alignment vertical="center" wrapText="1"/>
    </xf>
    <xf numFmtId="0" fontId="10" fillId="0" borderId="0" xfId="0" applyFont="1"/>
    <xf numFmtId="3" fontId="37" fillId="2" borderId="0" xfId="0" applyNumberFormat="1" applyFont="1" applyFill="1" applyAlignment="1">
      <alignment vertical="center" wrapText="1"/>
    </xf>
    <xf numFmtId="0" fontId="37" fillId="2" borderId="0" xfId="0" applyFont="1" applyFill="1" applyAlignment="1">
      <alignment vertical="center" wrapText="1"/>
    </xf>
    <xf numFmtId="0" fontId="37" fillId="2" borderId="0" xfId="0" applyFont="1" applyFill="1"/>
    <xf numFmtId="0" fontId="3" fillId="2" borderId="0" xfId="0" applyFont="1" applyFill="1" applyAlignment="1">
      <alignmen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2" fillId="2" borderId="0" xfId="0" applyFont="1" applyFill="1" applyAlignment="1">
      <alignment horizontal="left" vertical="center" wrapText="1"/>
    </xf>
    <xf numFmtId="0" fontId="38" fillId="0" borderId="0" xfId="0" applyFont="1" applyAlignment="1">
      <alignment horizontal="center" vertical="center" wrapText="1"/>
    </xf>
    <xf numFmtId="0" fontId="40" fillId="2" borderId="0" xfId="0" applyFont="1" applyFill="1" applyAlignment="1">
      <alignment horizontal="center" vertical="center"/>
    </xf>
    <xf numFmtId="0" fontId="41" fillId="2" borderId="0" xfId="0" applyFont="1" applyFill="1" applyAlignment="1">
      <alignment vertical="center"/>
    </xf>
    <xf numFmtId="0" fontId="30" fillId="2" borderId="0" xfId="0" applyFont="1" applyFill="1" applyAlignment="1">
      <alignment vertical="center"/>
    </xf>
    <xf numFmtId="0" fontId="40" fillId="2" borderId="0" xfId="0" applyFont="1" applyFill="1" applyAlignment="1">
      <alignment vertical="center"/>
    </xf>
    <xf numFmtId="3" fontId="30" fillId="2" borderId="0" xfId="1" applyNumberFormat="1" applyFont="1" applyFill="1" applyBorder="1" applyAlignment="1">
      <alignment horizontal="left" vertical="center"/>
    </xf>
    <xf numFmtId="3" fontId="30" fillId="2" borderId="0" xfId="1" applyNumberFormat="1" applyFont="1" applyFill="1" applyBorder="1" applyAlignment="1">
      <alignment horizontal="right" vertical="center"/>
    </xf>
    <xf numFmtId="164" fontId="41" fillId="2" borderId="0" xfId="1" applyNumberFormat="1" applyFont="1" applyFill="1" applyBorder="1" applyAlignment="1">
      <alignment vertical="center"/>
    </xf>
    <xf numFmtId="164" fontId="41" fillId="0" borderId="0" xfId="1" applyNumberFormat="1" applyFont="1" applyFill="1" applyBorder="1" applyAlignment="1">
      <alignment vertical="center"/>
    </xf>
    <xf numFmtId="0" fontId="4" fillId="4" borderId="1" xfId="0" applyFont="1" applyFill="1" applyBorder="1" applyAlignment="1">
      <alignment horizontal="center" vertical="center" wrapText="1"/>
    </xf>
    <xf numFmtId="0" fontId="22" fillId="4" borderId="1" xfId="0" applyFont="1" applyFill="1" applyBorder="1" applyAlignment="1">
      <alignment vertical="center" wrapText="1"/>
    </xf>
    <xf numFmtId="49" fontId="30" fillId="2" borderId="1" xfId="0" applyNumberFormat="1" applyFont="1" applyFill="1" applyBorder="1" applyAlignment="1">
      <alignment horizontal="center" vertical="center" wrapText="1"/>
    </xf>
    <xf numFmtId="164" fontId="30" fillId="2" borderId="1" xfId="1" applyNumberFormat="1" applyFont="1" applyFill="1" applyBorder="1" applyAlignment="1">
      <alignment horizontal="center" vertical="center" wrapText="1"/>
    </xf>
    <xf numFmtId="49" fontId="30" fillId="8" borderId="1" xfId="0" applyNumberFormat="1" applyFont="1" applyFill="1" applyBorder="1" applyAlignment="1">
      <alignment horizontal="center" vertical="center" wrapText="1"/>
    </xf>
    <xf numFmtId="164" fontId="30" fillId="8" borderId="1" xfId="1" applyNumberFormat="1" applyFont="1" applyFill="1" applyBorder="1" applyAlignment="1">
      <alignment horizontal="center" vertical="center" wrapText="1"/>
    </xf>
    <xf numFmtId="164" fontId="30" fillId="2" borderId="0" xfId="1" applyNumberFormat="1" applyFont="1" applyFill="1" applyBorder="1" applyAlignment="1">
      <alignment horizontal="center" vertical="center" wrapText="1"/>
    </xf>
    <xf numFmtId="0" fontId="4" fillId="0" borderId="0" xfId="0" applyFont="1" applyAlignment="1">
      <alignment horizontal="center" vertical="center"/>
    </xf>
    <xf numFmtId="0" fontId="53" fillId="2" borderId="0" xfId="0" applyFont="1" applyFill="1" applyAlignment="1">
      <alignment vertical="center" wrapText="1"/>
    </xf>
    <xf numFmtId="0" fontId="41" fillId="2" borderId="0" xfId="0" applyFont="1" applyFill="1" applyAlignment="1">
      <alignment horizontal="center" vertical="center"/>
    </xf>
    <xf numFmtId="0" fontId="30" fillId="2" borderId="1" xfId="0" applyFont="1" applyFill="1" applyBorder="1" applyAlignment="1">
      <alignment vertical="center"/>
    </xf>
    <xf numFmtId="165" fontId="54" fillId="2" borderId="0" xfId="1" applyNumberFormat="1" applyFont="1" applyFill="1" applyBorder="1" applyAlignment="1">
      <alignment horizontal="right" vertical="center" wrapText="1"/>
    </xf>
    <xf numFmtId="1" fontId="54" fillId="7" borderId="1" xfId="1" applyNumberFormat="1" applyFont="1" applyFill="1" applyBorder="1" applyAlignment="1">
      <alignment horizontal="center" vertical="center" wrapText="1"/>
    </xf>
    <xf numFmtId="165" fontId="30" fillId="7" borderId="1" xfId="0" applyNumberFormat="1" applyFont="1" applyFill="1" applyBorder="1" applyAlignment="1">
      <alignment horizontal="right" vertical="center" wrapText="1"/>
    </xf>
    <xf numFmtId="1" fontId="30" fillId="4" borderId="1" xfId="1" applyNumberFormat="1" applyFont="1" applyFill="1" applyBorder="1" applyAlignment="1">
      <alignment horizontal="center" vertical="center" wrapText="1"/>
    </xf>
    <xf numFmtId="165" fontId="30" fillId="4" borderId="1" xfId="0" applyNumberFormat="1" applyFont="1" applyFill="1" applyBorder="1" applyAlignment="1">
      <alignment horizontal="right" vertical="center" wrapText="1"/>
    </xf>
    <xf numFmtId="165" fontId="45" fillId="2" borderId="0" xfId="1" applyNumberFormat="1" applyFont="1" applyFill="1" applyBorder="1" applyAlignment="1">
      <alignment horizontal="right" vertical="center" wrapText="1"/>
    </xf>
    <xf numFmtId="1" fontId="45" fillId="2" borderId="1" xfId="1" applyNumberFormat="1" applyFont="1" applyFill="1" applyBorder="1" applyAlignment="1">
      <alignment horizontal="center" vertical="center" wrapText="1"/>
    </xf>
    <xf numFmtId="1" fontId="41" fillId="8" borderId="1" xfId="0" applyNumberFormat="1" applyFont="1" applyFill="1" applyBorder="1" applyAlignment="1">
      <alignment horizontal="right" vertical="center" wrapText="1"/>
    </xf>
    <xf numFmtId="1" fontId="41" fillId="2" borderId="1" xfId="0" applyNumberFormat="1" applyFont="1" applyFill="1" applyBorder="1" applyAlignment="1">
      <alignment horizontal="right" vertical="center" wrapText="1"/>
    </xf>
    <xf numFmtId="1" fontId="41" fillId="2" borderId="1" xfId="0" applyNumberFormat="1" applyFont="1" applyFill="1" applyBorder="1" applyAlignment="1">
      <alignment horizontal="right" vertical="center"/>
    </xf>
    <xf numFmtId="1" fontId="41" fillId="2" borderId="1" xfId="1" applyNumberFormat="1" applyFont="1" applyFill="1" applyBorder="1" applyAlignment="1">
      <alignment horizontal="center" vertical="center" wrapText="1"/>
    </xf>
    <xf numFmtId="165" fontId="41" fillId="8" borderId="1" xfId="0" applyNumberFormat="1" applyFont="1" applyFill="1" applyBorder="1" applyAlignment="1">
      <alignment horizontal="right" vertical="center" wrapText="1"/>
    </xf>
    <xf numFmtId="165" fontId="41" fillId="2" borderId="1" xfId="0" applyNumberFormat="1" applyFont="1" applyFill="1" applyBorder="1" applyAlignment="1">
      <alignment horizontal="right" vertical="center" wrapText="1"/>
    </xf>
    <xf numFmtId="165" fontId="54" fillId="4" borderId="1" xfId="1" applyNumberFormat="1" applyFont="1" applyFill="1" applyBorder="1" applyAlignment="1">
      <alignment horizontal="center" vertical="center" wrapText="1"/>
    </xf>
    <xf numFmtId="3" fontId="30" fillId="2" borderId="0" xfId="1" applyNumberFormat="1" applyFont="1" applyFill="1" applyBorder="1" applyAlignment="1">
      <alignment horizontal="left" vertical="center" wrapText="1"/>
    </xf>
    <xf numFmtId="0" fontId="4" fillId="2" borderId="1" xfId="0" applyFont="1" applyFill="1" applyBorder="1"/>
    <xf numFmtId="0" fontId="12" fillId="2" borderId="1" xfId="0" quotePrefix="1" applyFont="1" applyFill="1" applyBorder="1" applyAlignment="1">
      <alignment horizontal="left" vertical="center" wrapText="1"/>
    </xf>
    <xf numFmtId="0" fontId="5" fillId="2" borderId="1" xfId="0" applyFont="1" applyFill="1" applyBorder="1"/>
    <xf numFmtId="0" fontId="5" fillId="2" borderId="14" xfId="0" applyFont="1" applyFill="1" applyBorder="1"/>
    <xf numFmtId="0" fontId="6" fillId="6" borderId="1" xfId="0" applyFont="1" applyFill="1" applyBorder="1" applyAlignment="1">
      <alignment horizontal="center" vertical="center" wrapText="1"/>
    </xf>
    <xf numFmtId="0" fontId="10" fillId="6" borderId="1" xfId="0" quotePrefix="1" applyFont="1" applyFill="1" applyBorder="1" applyAlignment="1">
      <alignment horizontal="left" vertical="center" wrapText="1"/>
    </xf>
    <xf numFmtId="3" fontId="10" fillId="6" borderId="1" xfId="1" applyNumberFormat="1" applyFont="1" applyFill="1" applyBorder="1" applyAlignment="1">
      <alignment horizontal="center" vertical="center" wrapText="1"/>
    </xf>
    <xf numFmtId="0" fontId="55" fillId="0" borderId="0" xfId="0" applyFont="1"/>
    <xf numFmtId="0" fontId="30" fillId="6" borderId="1" xfId="0" applyFont="1" applyFill="1" applyBorder="1" applyAlignment="1">
      <alignment vertical="center"/>
    </xf>
    <xf numFmtId="165" fontId="30" fillId="2" borderId="1" xfId="0" applyNumberFormat="1" applyFont="1" applyFill="1" applyBorder="1" applyAlignment="1">
      <alignment vertical="center"/>
    </xf>
    <xf numFmtId="165" fontId="30" fillId="6" borderId="1" xfId="0" applyNumberFormat="1" applyFont="1" applyFill="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0" fontId="56" fillId="0" borderId="0" xfId="0" applyFont="1"/>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3" fontId="20" fillId="0" borderId="1" xfId="0" applyNumberFormat="1" applyFont="1" applyBorder="1" applyAlignment="1">
      <alignment horizontal="center" vertical="center" wrapText="1"/>
    </xf>
    <xf numFmtId="0" fontId="57" fillId="0" borderId="0" xfId="0" applyFont="1"/>
    <xf numFmtId="0" fontId="8" fillId="0" borderId="1" xfId="0" applyFont="1" applyBorder="1" applyAlignment="1">
      <alignment horizontal="justify" vertical="center" wrapText="1"/>
    </xf>
    <xf numFmtId="0" fontId="58" fillId="0" borderId="1" xfId="0" applyFont="1" applyBorder="1" applyAlignment="1">
      <alignment horizontal="center" vertical="center" wrapText="1"/>
    </xf>
    <xf numFmtId="0" fontId="58" fillId="0" borderId="1" xfId="0" applyFont="1" applyBorder="1" applyAlignment="1">
      <alignment horizontal="justify" vertical="center" wrapText="1"/>
    </xf>
    <xf numFmtId="3" fontId="58" fillId="0" borderId="1" xfId="0" applyNumberFormat="1" applyFont="1" applyBorder="1" applyAlignment="1">
      <alignment horizontal="center" vertical="center" wrapText="1"/>
    </xf>
    <xf numFmtId="0" fontId="59" fillId="0" borderId="0" xfId="0" applyFont="1"/>
    <xf numFmtId="165" fontId="10"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63" fillId="5" borderId="1" xfId="0" applyNumberFormat="1" applyFont="1" applyFill="1" applyBorder="1" applyAlignment="1">
      <alignment horizontal="center" vertical="center" wrapText="1"/>
    </xf>
    <xf numFmtId="0" fontId="62" fillId="0" borderId="1" xfId="0" applyFont="1" applyBorder="1" applyAlignment="1">
      <alignment horizontal="center" vertical="center" wrapText="1"/>
    </xf>
    <xf numFmtId="0" fontId="0" fillId="0" borderId="0" xfId="0" applyAlignment="1">
      <alignment vertical="center" wrapText="1"/>
    </xf>
    <xf numFmtId="0" fontId="61" fillId="3"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8" fillId="0" borderId="1" xfId="0" applyFont="1" applyBorder="1" applyAlignment="1">
      <alignment vertical="center" wrapText="1"/>
    </xf>
    <xf numFmtId="0" fontId="63" fillId="5" borderId="1" xfId="0" applyFont="1" applyFill="1" applyBorder="1" applyAlignment="1">
      <alignment horizontal="right" vertical="center" wrapText="1"/>
    </xf>
    <xf numFmtId="0" fontId="7"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51" fillId="0" borderId="0" xfId="0" applyFont="1" applyAlignment="1">
      <alignment vertical="center"/>
    </xf>
    <xf numFmtId="0" fontId="16" fillId="0" borderId="1" xfId="0" applyFont="1" applyBorder="1" applyAlignment="1">
      <alignment vertical="center"/>
    </xf>
    <xf numFmtId="0" fontId="11"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11" fillId="0" borderId="0" xfId="0" applyFont="1" applyAlignment="1">
      <alignment vertical="center"/>
    </xf>
    <xf numFmtId="166" fontId="11" fillId="0" borderId="1" xfId="0" applyNumberFormat="1" applyFont="1" applyBorder="1" applyAlignment="1">
      <alignment horizontal="center" vertical="center" wrapText="1"/>
    </xf>
    <xf numFmtId="166" fontId="47" fillId="0" borderId="1" xfId="0" applyNumberFormat="1" applyFont="1" applyBorder="1" applyAlignment="1">
      <alignment horizontal="center" vertical="center" wrapText="1"/>
    </xf>
    <xf numFmtId="166" fontId="52"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166" fontId="19"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66" fontId="48" fillId="0" borderId="1" xfId="0" applyNumberFormat="1" applyFont="1" applyBorder="1" applyAlignment="1">
      <alignment horizontal="center" vertical="center" wrapText="1"/>
    </xf>
    <xf numFmtId="166" fontId="48" fillId="0" borderId="17" xfId="0" applyNumberFormat="1" applyFont="1" applyBorder="1" applyAlignment="1">
      <alignment horizontal="center" vertical="center" wrapText="1"/>
    </xf>
    <xf numFmtId="0" fontId="49" fillId="0" borderId="0" xfId="0" applyFont="1" applyAlignment="1">
      <alignment vertical="center"/>
    </xf>
    <xf numFmtId="0" fontId="16" fillId="0" borderId="1" xfId="0" applyFont="1" applyBorder="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3" fontId="3" fillId="0" borderId="0" xfId="0" applyNumberFormat="1" applyFont="1" applyAlignment="1">
      <alignment vertical="center" wrapText="1"/>
    </xf>
    <xf numFmtId="0" fontId="31" fillId="0" borderId="0" xfId="0" applyFont="1" applyAlignment="1">
      <alignment horizontal="right" vertical="center" wrapText="1"/>
    </xf>
    <xf numFmtId="0" fontId="32" fillId="0" borderId="3" xfId="0" applyFont="1" applyBorder="1" applyAlignment="1">
      <alignment horizontal="center" vertical="center" wrapText="1"/>
    </xf>
    <xf numFmtId="0" fontId="32" fillId="0" borderId="14"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vertical="center" wrapText="1"/>
    </xf>
    <xf numFmtId="0" fontId="32" fillId="0" borderId="14" xfId="0" applyFont="1" applyBorder="1" applyAlignment="1">
      <alignment vertical="center" wrapText="1"/>
    </xf>
    <xf numFmtId="0" fontId="32" fillId="0" borderId="15" xfId="0" applyFont="1" applyBorder="1" applyAlignment="1">
      <alignment vertical="center" wrapText="1"/>
    </xf>
    <xf numFmtId="0" fontId="32" fillId="0" borderId="4" xfId="0" applyFont="1" applyBorder="1" applyAlignment="1">
      <alignment horizontal="center" vertical="center" wrapText="1"/>
    </xf>
    <xf numFmtId="0" fontId="32" fillId="0" borderId="4" xfId="0" applyFont="1" applyBorder="1" applyAlignment="1">
      <alignment vertical="center" wrapText="1"/>
    </xf>
    <xf numFmtId="0" fontId="34" fillId="0" borderId="1" xfId="0" applyFont="1" applyBorder="1" applyAlignment="1">
      <alignment horizontal="center" vertical="center" wrapText="1"/>
    </xf>
    <xf numFmtId="0" fontId="22" fillId="0" borderId="1" xfId="0" applyFont="1" applyBorder="1" applyAlignment="1">
      <alignment vertical="center" wrapText="1"/>
    </xf>
    <xf numFmtId="3"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3" fontId="32" fillId="0" borderId="4" xfId="0" applyNumberFormat="1" applyFont="1" applyBorder="1" applyAlignment="1">
      <alignment horizontal="center" vertical="center" wrapText="1"/>
    </xf>
    <xf numFmtId="165" fontId="22" fillId="0" borderId="1" xfId="0" applyNumberFormat="1" applyFont="1" applyBorder="1" applyAlignment="1">
      <alignment vertical="center" wrapText="1"/>
    </xf>
    <xf numFmtId="0" fontId="33" fillId="0" borderId="0" xfId="0" applyFont="1" applyAlignment="1">
      <alignment horizontal="center" vertical="center" wrapText="1"/>
    </xf>
    <xf numFmtId="49" fontId="32" fillId="0" borderId="4" xfId="0" applyNumberFormat="1" applyFont="1" applyBorder="1" applyAlignment="1">
      <alignment horizontal="center" vertical="center" wrapText="1"/>
    </xf>
    <xf numFmtId="0" fontId="33" fillId="0" borderId="1" xfId="0" applyFont="1" applyBorder="1" applyAlignment="1">
      <alignment horizontal="center" vertical="center" wrapText="1"/>
    </xf>
    <xf numFmtId="165" fontId="33" fillId="0" borderId="1" xfId="0" applyNumberFormat="1" applyFont="1" applyBorder="1" applyAlignment="1">
      <alignment vertical="center" wrapText="1"/>
    </xf>
    <xf numFmtId="165" fontId="33" fillId="0" borderId="1" xfId="0" applyNumberFormat="1" applyFont="1" applyBorder="1" applyAlignment="1">
      <alignment horizontal="center" vertical="center" wrapText="1"/>
    </xf>
    <xf numFmtId="0" fontId="32" fillId="0" borderId="4" xfId="0" applyFont="1" applyBorder="1" applyAlignment="1">
      <alignment horizontal="left" vertical="center" wrapText="1"/>
    </xf>
    <xf numFmtId="3" fontId="32" fillId="0" borderId="1" xfId="0" quotePrefix="1" applyNumberFormat="1" applyFont="1" applyBorder="1" applyAlignment="1">
      <alignment vertical="center" wrapText="1"/>
    </xf>
    <xf numFmtId="3" fontId="32" fillId="0" borderId="1" xfId="0" applyNumberFormat="1" applyFont="1" applyBorder="1" applyAlignment="1">
      <alignment vertical="center" wrapText="1"/>
    </xf>
    <xf numFmtId="0" fontId="36" fillId="0" borderId="1" xfId="0" applyFont="1" applyBorder="1" applyAlignment="1">
      <alignment vertical="center" wrapText="1"/>
    </xf>
    <xf numFmtId="0" fontId="36" fillId="0" borderId="0" xfId="0" applyFont="1" applyAlignment="1">
      <alignment vertical="center" wrapText="1"/>
    </xf>
    <xf numFmtId="0" fontId="36" fillId="0" borderId="10" xfId="0" applyFont="1" applyBorder="1" applyAlignment="1">
      <alignment horizontal="center" vertical="center" wrapText="1"/>
    </xf>
    <xf numFmtId="0" fontId="36" fillId="0" borderId="4" xfId="0" applyFont="1" applyBorder="1" applyAlignment="1">
      <alignment horizontal="left" vertical="center" wrapText="1"/>
    </xf>
    <xf numFmtId="0" fontId="36" fillId="0" borderId="3" xfId="0" applyFont="1" applyBorder="1" applyAlignment="1">
      <alignment horizontal="center" vertical="center" wrapText="1"/>
    </xf>
    <xf numFmtId="0" fontId="36" fillId="0" borderId="1" xfId="0" applyFont="1" applyBorder="1" applyAlignment="1">
      <alignment horizontal="center" vertical="center" wrapText="1"/>
    </xf>
    <xf numFmtId="3" fontId="36" fillId="0" borderId="1" xfId="0" applyNumberFormat="1" applyFont="1" applyBorder="1" applyAlignment="1">
      <alignment vertical="center" wrapText="1"/>
    </xf>
    <xf numFmtId="0" fontId="36" fillId="0" borderId="3" xfId="0" applyFont="1" applyBorder="1" applyAlignment="1">
      <alignment vertical="center" wrapText="1"/>
    </xf>
    <xf numFmtId="0" fontId="32" fillId="0" borderId="1" xfId="0" applyFont="1" applyBorder="1" applyAlignment="1">
      <alignment vertical="center" wrapText="1"/>
    </xf>
    <xf numFmtId="0" fontId="32" fillId="0" borderId="0" xfId="0" applyFont="1" applyAlignment="1">
      <alignment vertical="center" wrapText="1"/>
    </xf>
    <xf numFmtId="0" fontId="36" fillId="0" borderId="4" xfId="0" applyFont="1" applyBorder="1" applyAlignment="1">
      <alignment horizontal="center" vertical="center" wrapText="1"/>
    </xf>
    <xf numFmtId="0" fontId="36" fillId="0" borderId="4" xfId="0" applyFont="1" applyBorder="1" applyAlignment="1">
      <alignment vertical="center" wrapText="1"/>
    </xf>
    <xf numFmtId="0" fontId="32" fillId="0" borderId="1" xfId="0" applyFont="1" applyBorder="1" applyAlignment="1">
      <alignment horizontal="left" vertical="center" wrapText="1"/>
    </xf>
    <xf numFmtId="0" fontId="36" fillId="0" borderId="8" xfId="0" applyFont="1" applyBorder="1" applyAlignment="1">
      <alignment vertical="center" wrapText="1"/>
    </xf>
    <xf numFmtId="0" fontId="9" fillId="0" borderId="1" xfId="0" applyFont="1" applyBorder="1"/>
    <xf numFmtId="0" fontId="36" fillId="0" borderId="14" xfId="0" applyFont="1" applyBorder="1" applyAlignment="1">
      <alignment vertical="center" wrapText="1"/>
    </xf>
    <xf numFmtId="0" fontId="32" fillId="0" borderId="8" xfId="0" applyFont="1" applyBorder="1" applyAlignment="1">
      <alignment horizontal="center" vertical="center" wrapText="1"/>
    </xf>
    <xf numFmtId="0" fontId="33" fillId="0" borderId="1" xfId="0" applyFont="1" applyBorder="1" applyAlignment="1">
      <alignment vertical="center" wrapText="1"/>
    </xf>
    <xf numFmtId="0" fontId="9" fillId="0" borderId="1" xfId="0" applyFont="1" applyBorder="1" applyAlignment="1">
      <alignment vertical="center" wrapText="1"/>
    </xf>
    <xf numFmtId="0" fontId="36" fillId="0" borderId="13" xfId="0" applyFont="1" applyBorder="1" applyAlignment="1">
      <alignment vertical="center" wrapText="1"/>
    </xf>
    <xf numFmtId="0" fontId="10" fillId="0" borderId="1" xfId="0" applyFont="1" applyBorder="1" applyAlignment="1">
      <alignment vertical="center" wrapText="1"/>
    </xf>
    <xf numFmtId="3" fontId="32" fillId="0" borderId="4" xfId="0" applyNumberFormat="1" applyFont="1" applyBorder="1" applyAlignment="1">
      <alignment vertical="center" wrapText="1"/>
    </xf>
    <xf numFmtId="3" fontId="36" fillId="0" borderId="3" xfId="0" applyNumberFormat="1" applyFont="1" applyBorder="1" applyAlignment="1">
      <alignment vertical="center" wrapText="1"/>
    </xf>
    <xf numFmtId="1" fontId="36" fillId="0" borderId="1" xfId="0" applyNumberFormat="1" applyFont="1" applyBorder="1" applyAlignment="1">
      <alignment horizontal="right" vertical="center" wrapText="1"/>
    </xf>
    <xf numFmtId="167" fontId="9" fillId="0" borderId="14" xfId="0" applyNumberFormat="1" applyFont="1" applyBorder="1" applyAlignment="1">
      <alignment horizontal="right" vertical="center" wrapText="1"/>
    </xf>
    <xf numFmtId="167" fontId="9" fillId="0" borderId="1" xfId="0" applyNumberFormat="1" applyFont="1" applyBorder="1" applyAlignment="1">
      <alignment horizontal="right" vertical="center" wrapText="1"/>
    </xf>
    <xf numFmtId="167" fontId="3" fillId="0" borderId="14" xfId="0" applyNumberFormat="1" applyFont="1" applyBorder="1" applyAlignment="1">
      <alignment horizontal="right" vertical="center" wrapText="1"/>
    </xf>
    <xf numFmtId="167" fontId="3"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6" fillId="0" borderId="1" xfId="0" applyFont="1" applyBorder="1"/>
    <xf numFmtId="0" fontId="36" fillId="0" borderId="10" xfId="0" applyFont="1" applyBorder="1" applyAlignment="1">
      <alignment vertical="center" wrapText="1"/>
    </xf>
    <xf numFmtId="0" fontId="32" fillId="0" borderId="3" xfId="0" applyFont="1" applyBorder="1" applyAlignment="1">
      <alignment horizontal="right" vertical="center" wrapText="1"/>
    </xf>
    <xf numFmtId="3" fontId="32" fillId="0" borderId="1" xfId="0" quotePrefix="1" applyNumberFormat="1" applyFont="1" applyBorder="1" applyAlignment="1">
      <alignment horizontal="right" vertical="center" wrapText="1"/>
    </xf>
    <xf numFmtId="0" fontId="36" fillId="0" borderId="1" xfId="0" applyFont="1" applyBorder="1" applyAlignment="1">
      <alignment horizontal="left" vertical="center" wrapText="1"/>
    </xf>
    <xf numFmtId="3" fontId="36" fillId="0" borderId="1" xfId="0" applyNumberFormat="1" applyFont="1" applyBorder="1" applyAlignment="1">
      <alignment horizontal="right" vertical="center" wrapText="1"/>
    </xf>
    <xf numFmtId="0" fontId="3" fillId="0" borderId="14" xfId="0" applyFont="1" applyBorder="1" applyAlignment="1">
      <alignment vertical="center" wrapText="1"/>
    </xf>
    <xf numFmtId="0" fontId="3" fillId="0" borderId="0" xfId="0" applyFont="1"/>
    <xf numFmtId="0" fontId="37" fillId="0" borderId="0" xfId="0" applyFont="1" applyAlignment="1">
      <alignment vertical="center" wrapText="1"/>
    </xf>
    <xf numFmtId="3" fontId="32" fillId="0" borderId="3" xfId="0" applyNumberFormat="1" applyFont="1" applyBorder="1" applyAlignment="1">
      <alignment vertical="center" wrapText="1"/>
    </xf>
    <xf numFmtId="0" fontId="32" fillId="0" borderId="13" xfId="0" applyFont="1" applyBorder="1" applyAlignment="1">
      <alignment vertical="center" wrapText="1"/>
    </xf>
    <xf numFmtId="0" fontId="36" fillId="0" borderId="10" xfId="0" applyFont="1" applyBorder="1" applyAlignment="1">
      <alignment horizontal="center" wrapText="1"/>
    </xf>
    <xf numFmtId="0" fontId="36" fillId="0" borderId="8" xfId="0" applyFont="1" applyBorder="1" applyAlignment="1">
      <alignment horizontal="center" vertical="center" wrapText="1"/>
    </xf>
    <xf numFmtId="3" fontId="36" fillId="0" borderId="1" xfId="0" applyNumberFormat="1" applyFont="1" applyBorder="1" applyAlignment="1">
      <alignment horizontal="center" vertical="center" wrapText="1"/>
    </xf>
    <xf numFmtId="0" fontId="32" fillId="0" borderId="4" xfId="0" applyFont="1" applyBorder="1" applyAlignment="1">
      <alignment horizontal="center" vertical="center"/>
    </xf>
    <xf numFmtId="0" fontId="36" fillId="0" borderId="14" xfId="0" applyFont="1" applyBorder="1" applyAlignment="1">
      <alignment vertical="center"/>
    </xf>
    <xf numFmtId="0" fontId="36" fillId="0" borderId="1" xfId="0" applyFont="1" applyBorder="1" applyAlignment="1">
      <alignment vertical="center"/>
    </xf>
    <xf numFmtId="0" fontId="36" fillId="0" borderId="3"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center"/>
    </xf>
    <xf numFmtId="0" fontId="36" fillId="0" borderId="1" xfId="0" applyFont="1" applyBorder="1" applyAlignment="1">
      <alignment wrapText="1"/>
    </xf>
    <xf numFmtId="0" fontId="36" fillId="0" borderId="1" xfId="0" applyFont="1" applyBorder="1" applyAlignment="1">
      <alignment horizontal="center" wrapText="1"/>
    </xf>
    <xf numFmtId="0" fontId="36" fillId="0" borderId="0" xfId="0" applyFont="1" applyAlignment="1">
      <alignment vertical="center"/>
    </xf>
    <xf numFmtId="0" fontId="36" fillId="0" borderId="10" xfId="0" applyFont="1" applyBorder="1" applyAlignment="1">
      <alignment horizontal="center" vertical="center"/>
    </xf>
    <xf numFmtId="0" fontId="36" fillId="0" borderId="16" xfId="0" applyFont="1" applyBorder="1" applyAlignment="1">
      <alignment vertical="center" wrapText="1"/>
    </xf>
    <xf numFmtId="0" fontId="36" fillId="0" borderId="3" xfId="0" applyFont="1" applyBorder="1" applyAlignment="1">
      <alignment wrapText="1"/>
    </xf>
    <xf numFmtId="3" fontId="32" fillId="0" borderId="1" xfId="0" quotePrefix="1" applyNumberFormat="1" applyFont="1" applyBorder="1" applyAlignment="1">
      <alignment horizontal="center" vertical="center" wrapText="1"/>
    </xf>
    <xf numFmtId="0" fontId="36" fillId="0" borderId="14" xfId="0" applyFont="1" applyBorder="1" applyAlignment="1">
      <alignment horizontal="center" vertical="center" wrapText="1"/>
    </xf>
    <xf numFmtId="0" fontId="33" fillId="0" borderId="1" xfId="0" applyFont="1" applyBorder="1"/>
    <xf numFmtId="0" fontId="36" fillId="0" borderId="0" xfId="0" applyFont="1" applyAlignment="1">
      <alignment horizontal="center"/>
    </xf>
    <xf numFmtId="0" fontId="10" fillId="0" borderId="1" xfId="0" applyFont="1" applyBorder="1"/>
    <xf numFmtId="0" fontId="2" fillId="0" borderId="1" xfId="0" applyFont="1" applyBorder="1"/>
    <xf numFmtId="0" fontId="36" fillId="0" borderId="0" xfId="0" applyFont="1"/>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6" fillId="0" borderId="7" xfId="0" applyFont="1" applyBorder="1" applyAlignment="1">
      <alignment horizontal="center" vertical="center" wrapText="1"/>
    </xf>
    <xf numFmtId="0" fontId="3" fillId="0" borderId="1" xfId="0" applyFont="1" applyBorder="1"/>
    <xf numFmtId="0" fontId="32" fillId="0" borderId="1" xfId="0" applyFont="1" applyBorder="1"/>
    <xf numFmtId="0" fontId="36" fillId="0" borderId="3" xfId="0" applyFont="1" applyBorder="1"/>
    <xf numFmtId="0" fontId="36" fillId="0" borderId="3" xfId="0" applyFont="1" applyBorder="1" applyAlignment="1">
      <alignment horizontal="center"/>
    </xf>
    <xf numFmtId="0" fontId="32" fillId="0" borderId="1" xfId="0" applyFont="1" applyBorder="1" applyAlignment="1">
      <alignment horizontal="center"/>
    </xf>
    <xf numFmtId="0" fontId="32" fillId="0" borderId="1" xfId="0" applyFont="1" applyBorder="1" applyAlignment="1">
      <alignment horizontal="center" wrapText="1"/>
    </xf>
    <xf numFmtId="165" fontId="32" fillId="0" borderId="1" xfId="0" applyNumberFormat="1" applyFont="1" applyBorder="1" applyAlignment="1">
      <alignment horizontal="center" vertical="center" wrapText="1"/>
    </xf>
    <xf numFmtId="165" fontId="36" fillId="0" borderId="1" xfId="1" applyNumberFormat="1" applyFont="1" applyFill="1" applyBorder="1" applyAlignment="1">
      <alignment horizontal="right" vertical="center" wrapText="1"/>
    </xf>
    <xf numFmtId="165" fontId="36" fillId="0" borderId="4" xfId="1" applyNumberFormat="1" applyFont="1" applyFill="1" applyBorder="1" applyAlignment="1">
      <alignment horizontal="right" vertical="center" wrapText="1"/>
    </xf>
    <xf numFmtId="49" fontId="32" fillId="0" borderId="1" xfId="0" applyNumberFormat="1" applyFont="1" applyBorder="1" applyAlignment="1">
      <alignment horizontal="center" vertical="center" wrapText="1"/>
    </xf>
    <xf numFmtId="49" fontId="36" fillId="0" borderId="3" xfId="0" applyNumberFormat="1" applyFont="1" applyBorder="1" applyAlignment="1">
      <alignment horizontal="right" vertical="center" wrapText="1"/>
    </xf>
    <xf numFmtId="49" fontId="32" fillId="0" borderId="1" xfId="0" applyNumberFormat="1" applyFont="1" applyBorder="1" applyAlignment="1">
      <alignment horizontal="right" vertical="center" wrapText="1"/>
    </xf>
    <xf numFmtId="0" fontId="36" fillId="0" borderId="4" xfId="0" applyFont="1" applyBorder="1" applyAlignment="1">
      <alignment horizontal="right" vertical="center" wrapText="1"/>
    </xf>
    <xf numFmtId="0" fontId="36" fillId="0" borderId="1" xfId="0" applyFont="1" applyBorder="1" applyAlignment="1">
      <alignment horizontal="right" vertical="center" wrapText="1"/>
    </xf>
    <xf numFmtId="49" fontId="32" fillId="0" borderId="1" xfId="0" quotePrefix="1" applyNumberFormat="1" applyFont="1" applyBorder="1" applyAlignment="1">
      <alignment horizontal="center" vertical="center" wrapText="1"/>
    </xf>
    <xf numFmtId="49" fontId="36" fillId="0" borderId="1" xfId="0" applyNumberFormat="1" applyFont="1" applyBorder="1" applyAlignment="1">
      <alignment horizontal="center" vertical="center" wrapText="1"/>
    </xf>
    <xf numFmtId="165" fontId="32" fillId="0" borderId="4" xfId="1" applyNumberFormat="1" applyFont="1" applyFill="1" applyBorder="1" applyAlignment="1">
      <alignment horizontal="center" vertical="center" wrapText="1"/>
    </xf>
    <xf numFmtId="165" fontId="32" fillId="0" borderId="1" xfId="1" applyNumberFormat="1" applyFont="1" applyFill="1" applyBorder="1" applyAlignment="1">
      <alignment horizontal="center" vertical="center" wrapText="1"/>
    </xf>
    <xf numFmtId="14" fontId="32" fillId="0" borderId="1" xfId="0" applyNumberFormat="1" applyFont="1" applyBorder="1" applyAlignment="1">
      <alignment horizontal="right" vertical="center" wrapText="1"/>
    </xf>
    <xf numFmtId="49" fontId="36" fillId="0" borderId="1" xfId="0" applyNumberFormat="1" applyFont="1" applyBorder="1" applyAlignment="1">
      <alignment horizontal="right" vertical="center" wrapText="1"/>
    </xf>
    <xf numFmtId="0" fontId="32" fillId="0" borderId="1" xfId="0" applyFont="1" applyBorder="1" applyAlignment="1">
      <alignment horizontal="right" vertical="center" wrapText="1"/>
    </xf>
    <xf numFmtId="0" fontId="69" fillId="0" borderId="1" xfId="0" applyFont="1" applyBorder="1"/>
    <xf numFmtId="0" fontId="70" fillId="0" borderId="1" xfId="0" applyFont="1" applyBorder="1"/>
    <xf numFmtId="0" fontId="36" fillId="0" borderId="0" xfId="0" applyFont="1" applyAlignment="1">
      <alignment wrapText="1"/>
    </xf>
    <xf numFmtId="0" fontId="36" fillId="0" borderId="1" xfId="0" quotePrefix="1" applyFont="1" applyBorder="1" applyAlignment="1">
      <alignment horizontal="center" vertical="center" wrapText="1"/>
    </xf>
    <xf numFmtId="14" fontId="32" fillId="0" borderId="3" xfId="0" applyNumberFormat="1" applyFont="1" applyBorder="1" applyAlignment="1">
      <alignment horizontal="center" vertical="center" wrapText="1"/>
    </xf>
    <xf numFmtId="14" fontId="36" fillId="0" borderId="3" xfId="0" applyNumberFormat="1" applyFont="1" applyBorder="1" applyAlignment="1">
      <alignment horizontal="center" vertical="center" wrapText="1"/>
    </xf>
    <xf numFmtId="0" fontId="36" fillId="0" borderId="1" xfId="0" applyFont="1" applyBorder="1" applyAlignment="1">
      <alignment horizontal="justify" vertical="center"/>
    </xf>
    <xf numFmtId="14" fontId="32" fillId="0" borderId="1" xfId="0" applyNumberFormat="1" applyFont="1" applyBorder="1" applyAlignment="1">
      <alignment horizontal="center" vertical="center" wrapText="1"/>
    </xf>
    <xf numFmtId="14" fontId="36" fillId="0" borderId="1" xfId="0" applyNumberFormat="1" applyFont="1" applyBorder="1" applyAlignment="1">
      <alignment horizontal="center" vertical="center" wrapText="1"/>
    </xf>
    <xf numFmtId="1" fontId="32" fillId="0" borderId="4"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1" fontId="36" fillId="0" borderId="1" xfId="0" applyNumberFormat="1" applyFont="1" applyBorder="1" applyAlignment="1">
      <alignment horizontal="center" vertical="center" wrapText="1"/>
    </xf>
    <xf numFmtId="1" fontId="32" fillId="0" borderId="1" xfId="0" applyNumberFormat="1" applyFont="1" applyBorder="1" applyAlignment="1">
      <alignment horizontal="right" vertical="center" wrapText="1"/>
    </xf>
    <xf numFmtId="14" fontId="36" fillId="0" borderId="1" xfId="0" quotePrefix="1" applyNumberFormat="1" applyFont="1" applyBorder="1" applyAlignment="1">
      <alignment horizontal="right" vertical="center" wrapText="1"/>
    </xf>
    <xf numFmtId="14" fontId="36" fillId="0" borderId="1" xfId="0" applyNumberFormat="1" applyFont="1" applyBorder="1" applyAlignment="1">
      <alignment horizontal="right" vertical="center" wrapText="1"/>
    </xf>
    <xf numFmtId="0" fontId="36" fillId="0" borderId="4" xfId="0" applyFont="1" applyBorder="1" applyAlignment="1">
      <alignment horizontal="justify" vertical="center"/>
    </xf>
    <xf numFmtId="0" fontId="36" fillId="0" borderId="3" xfId="0" applyFont="1" applyBorder="1" applyAlignment="1">
      <alignment vertical="center"/>
    </xf>
    <xf numFmtId="0" fontId="36" fillId="0" borderId="3" xfId="0" applyFont="1" applyBorder="1" applyAlignment="1">
      <alignment horizontal="justify" vertical="center"/>
    </xf>
    <xf numFmtId="14" fontId="36" fillId="0" borderId="4" xfId="0" applyNumberFormat="1" applyFont="1" applyBorder="1" applyAlignment="1">
      <alignment horizontal="center" vertical="center" wrapText="1"/>
    </xf>
    <xf numFmtId="0" fontId="32" fillId="0" borderId="1" xfId="0" applyFont="1" applyBorder="1" applyAlignment="1">
      <alignment vertical="center"/>
    </xf>
    <xf numFmtId="0" fontId="36" fillId="0" borderId="1" xfId="0" applyFont="1" applyBorder="1" applyAlignment="1">
      <alignment horizontal="right" vertical="center"/>
    </xf>
    <xf numFmtId="0" fontId="36" fillId="0" borderId="3" xfId="0" applyFont="1" applyBorder="1" applyAlignment="1">
      <alignment horizontal="right" vertical="center" wrapText="1"/>
    </xf>
    <xf numFmtId="49" fontId="36" fillId="0" borderId="4" xfId="0" applyNumberFormat="1" applyFont="1" applyBorder="1" applyAlignment="1">
      <alignment horizontal="right" vertical="center" wrapText="1"/>
    </xf>
    <xf numFmtId="49" fontId="36" fillId="0" borderId="1" xfId="0" applyNumberFormat="1" applyFont="1" applyBorder="1" applyAlignment="1">
      <alignment vertical="center" wrapText="1"/>
    </xf>
    <xf numFmtId="3" fontId="68" fillId="0" borderId="1" xfId="0" quotePrefix="1" applyNumberFormat="1" applyFont="1" applyBorder="1" applyAlignment="1">
      <alignment horizontal="center" vertical="center" wrapText="1"/>
    </xf>
    <xf numFmtId="0" fontId="3" fillId="0" borderId="0" xfId="0" applyFont="1" applyAlignment="1">
      <alignment vertical="center"/>
    </xf>
    <xf numFmtId="164" fontId="30" fillId="0" borderId="3" xfId="1" applyNumberFormat="1"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0" xfId="0" applyFont="1" applyAlignment="1">
      <alignment horizontal="left" vertical="center" wrapText="1"/>
    </xf>
    <xf numFmtId="164" fontId="30" fillId="0" borderId="3" xfId="1" applyNumberFormat="1" applyFont="1" applyFill="1" applyBorder="1" applyAlignment="1">
      <alignment horizontal="right" vertical="center" wrapText="1"/>
    </xf>
    <xf numFmtId="1" fontId="30" fillId="0" borderId="7" xfId="0" applyNumberFormat="1" applyFont="1" applyBorder="1" applyAlignment="1">
      <alignment horizontal="right" vertical="center" wrapText="1"/>
    </xf>
    <xf numFmtId="1" fontId="30" fillId="0" borderId="1" xfId="0" applyNumberFormat="1" applyFont="1" applyBorder="1" applyAlignment="1">
      <alignment horizontal="right" vertical="center" wrapText="1"/>
    </xf>
    <xf numFmtId="0" fontId="30" fillId="0" borderId="1" xfId="0" applyFont="1" applyBorder="1" applyAlignment="1">
      <alignment vertical="center"/>
    </xf>
    <xf numFmtId="0" fontId="30" fillId="0" borderId="3" xfId="0" applyFont="1" applyBorder="1" applyAlignment="1">
      <alignment horizontal="left" vertical="center" wrapText="1"/>
    </xf>
    <xf numFmtId="164" fontId="30" fillId="0" borderId="1" xfId="1" applyNumberFormat="1" applyFont="1" applyFill="1" applyBorder="1" applyAlignment="1">
      <alignment horizontal="right" vertical="center" wrapText="1"/>
    </xf>
    <xf numFmtId="3" fontId="30" fillId="0" borderId="1" xfId="1" applyNumberFormat="1" applyFont="1" applyFill="1" applyBorder="1" applyAlignment="1">
      <alignment horizontal="right" vertical="center" wrapText="1"/>
    </xf>
    <xf numFmtId="0" fontId="41" fillId="0" borderId="1" xfId="0" applyFont="1" applyBorder="1" applyAlignment="1">
      <alignment vertical="center"/>
    </xf>
    <xf numFmtId="0" fontId="41" fillId="0" borderId="3" xfId="0" applyFont="1" applyBorder="1" applyAlignment="1">
      <alignment horizontal="left" vertical="center" wrapText="1"/>
    </xf>
    <xf numFmtId="3" fontId="45" fillId="0" borderId="1" xfId="1" applyNumberFormat="1" applyFont="1" applyFill="1" applyBorder="1" applyAlignment="1">
      <alignment horizontal="right" vertical="center" wrapText="1"/>
    </xf>
    <xf numFmtId="3" fontId="41" fillId="0" borderId="1" xfId="1" applyNumberFormat="1" applyFont="1" applyFill="1" applyBorder="1" applyAlignment="1">
      <alignment horizontal="right" vertical="center" wrapText="1"/>
    </xf>
    <xf numFmtId="165" fontId="45" fillId="0" borderId="1" xfId="1" applyNumberFormat="1" applyFont="1" applyFill="1" applyBorder="1" applyAlignment="1">
      <alignment horizontal="right" vertical="center" wrapText="1"/>
    </xf>
    <xf numFmtId="1" fontId="41" fillId="0" borderId="7" xfId="0" applyNumberFormat="1" applyFont="1" applyBorder="1" applyAlignment="1">
      <alignment horizontal="right" vertical="center" wrapText="1"/>
    </xf>
    <xf numFmtId="0" fontId="30" fillId="0" borderId="1" xfId="0" applyFont="1" applyBorder="1" applyAlignment="1">
      <alignment horizontal="center" vertical="center"/>
    </xf>
    <xf numFmtId="0" fontId="30" fillId="0" borderId="3" xfId="0" applyFont="1" applyBorder="1" applyAlignment="1">
      <alignment vertical="center" wrapText="1"/>
    </xf>
    <xf numFmtId="0" fontId="41" fillId="0" borderId="1" xfId="0" applyFont="1" applyBorder="1" applyAlignment="1">
      <alignment horizontal="center" vertical="center"/>
    </xf>
    <xf numFmtId="164" fontId="41" fillId="0" borderId="1" xfId="1" applyNumberFormat="1" applyFont="1" applyFill="1" applyBorder="1" applyAlignment="1">
      <alignment horizontal="right" vertical="center" wrapText="1"/>
    </xf>
    <xf numFmtId="0" fontId="41" fillId="0" borderId="3" xfId="0" applyFont="1" applyBorder="1" applyAlignment="1">
      <alignment vertical="center" wrapText="1"/>
    </xf>
    <xf numFmtId="0" fontId="10" fillId="0" borderId="0" xfId="0" applyFont="1" applyAlignment="1">
      <alignment vertical="center"/>
    </xf>
    <xf numFmtId="0" fontId="14" fillId="0" borderId="0" xfId="0" applyFont="1" applyAlignment="1">
      <alignment vertical="center"/>
    </xf>
    <xf numFmtId="0" fontId="14" fillId="0" borderId="5" xfId="0" applyFont="1" applyBorder="1" applyAlignment="1">
      <alignment vertical="center" wrapText="1"/>
    </xf>
    <xf numFmtId="1" fontId="30" fillId="11" borderId="7" xfId="0" applyNumberFormat="1" applyFont="1" applyFill="1" applyBorder="1" applyAlignment="1">
      <alignment horizontal="right" vertical="center" wrapText="1"/>
    </xf>
    <xf numFmtId="1" fontId="30" fillId="11" borderId="1" xfId="0" applyNumberFormat="1" applyFont="1" applyFill="1" applyBorder="1" applyAlignment="1">
      <alignment horizontal="right" vertical="center" wrapText="1"/>
    </xf>
    <xf numFmtId="0" fontId="40" fillId="2" borderId="1" xfId="0" applyFont="1" applyFill="1" applyBorder="1" applyAlignment="1">
      <alignment vertical="center"/>
    </xf>
    <xf numFmtId="3" fontId="30" fillId="2" borderId="1" xfId="1" applyNumberFormat="1" applyFont="1" applyFill="1" applyBorder="1" applyAlignment="1">
      <alignment horizontal="left" vertical="center" wrapText="1"/>
    </xf>
    <xf numFmtId="49" fontId="30" fillId="0" borderId="1" xfId="0" applyNumberFormat="1" applyFont="1" applyBorder="1" applyAlignment="1">
      <alignment horizontal="center" vertical="center" wrapText="1"/>
    </xf>
    <xf numFmtId="164" fontId="30" fillId="0" borderId="1" xfId="1" applyNumberFormat="1" applyFont="1" applyFill="1" applyBorder="1" applyAlignment="1">
      <alignment horizontal="center" vertical="center" wrapText="1"/>
    </xf>
    <xf numFmtId="0" fontId="30" fillId="0" borderId="1" xfId="0" applyFont="1" applyBorder="1" applyAlignment="1">
      <alignment horizontal="left" vertical="center" wrapText="1"/>
    </xf>
    <xf numFmtId="164" fontId="41" fillId="2" borderId="1" xfId="1" applyNumberFormat="1" applyFont="1" applyFill="1" applyBorder="1" applyAlignment="1">
      <alignment vertical="center"/>
    </xf>
    <xf numFmtId="0" fontId="30" fillId="0" borderId="1" xfId="0" applyFont="1" applyBorder="1" applyAlignment="1">
      <alignment vertical="center" wrapText="1"/>
    </xf>
    <xf numFmtId="1" fontId="30" fillId="12" borderId="7" xfId="0" applyNumberFormat="1" applyFont="1" applyFill="1" applyBorder="1" applyAlignment="1">
      <alignment horizontal="right" vertical="center" wrapText="1"/>
    </xf>
    <xf numFmtId="3" fontId="30" fillId="12" borderId="1" xfId="1" applyNumberFormat="1" applyFont="1" applyFill="1" applyBorder="1" applyAlignment="1">
      <alignment horizontal="right" vertical="center" wrapText="1"/>
    </xf>
    <xf numFmtId="3" fontId="41" fillId="12" borderId="1" xfId="1" applyNumberFormat="1" applyFont="1" applyFill="1" applyBorder="1" applyAlignment="1">
      <alignment horizontal="right" vertical="center" wrapText="1"/>
    </xf>
    <xf numFmtId="3" fontId="73" fillId="12" borderId="1" xfId="1" applyNumberFormat="1" applyFont="1" applyFill="1" applyBorder="1" applyAlignment="1">
      <alignment horizontal="right" vertical="center" wrapText="1"/>
    </xf>
    <xf numFmtId="164" fontId="41" fillId="12" borderId="1" xfId="1" applyNumberFormat="1" applyFont="1" applyFill="1" applyBorder="1" applyAlignment="1">
      <alignment horizontal="right" vertical="center" wrapText="1"/>
    </xf>
    <xf numFmtId="165" fontId="45" fillId="12" borderId="1" xfId="1" applyNumberFormat="1" applyFont="1" applyFill="1" applyBorder="1" applyAlignment="1">
      <alignment horizontal="right" vertical="center" wrapText="1"/>
    </xf>
    <xf numFmtId="165" fontId="73" fillId="12" borderId="1" xfId="1" applyNumberFormat="1" applyFont="1" applyFill="1" applyBorder="1" applyAlignment="1">
      <alignment horizontal="right" vertical="center" wrapText="1"/>
    </xf>
    <xf numFmtId="3" fontId="74" fillId="2" borderId="1" xfId="1" applyNumberFormat="1" applyFont="1" applyFill="1" applyBorder="1" applyAlignment="1">
      <alignment horizontal="left" vertical="center"/>
    </xf>
    <xf numFmtId="3" fontId="74" fillId="2" borderId="1" xfId="1" applyNumberFormat="1" applyFont="1" applyFill="1" applyBorder="1" applyAlignment="1">
      <alignment horizontal="right" vertical="center"/>
    </xf>
    <xf numFmtId="164" fontId="73" fillId="2" borderId="1" xfId="1" applyNumberFormat="1" applyFont="1" applyFill="1" applyBorder="1" applyAlignment="1">
      <alignment vertical="center"/>
    </xf>
    <xf numFmtId="164" fontId="27" fillId="2" borderId="1" xfId="1" applyNumberFormat="1" applyFont="1" applyFill="1" applyBorder="1" applyAlignment="1">
      <alignment vertical="center"/>
    </xf>
    <xf numFmtId="0" fontId="28" fillId="0" borderId="1" xfId="0" applyFont="1" applyBorder="1" applyAlignment="1">
      <alignment vertical="center" wrapText="1"/>
    </xf>
    <xf numFmtId="0" fontId="6" fillId="0" borderId="15"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2" xfId="0" applyFont="1" applyBorder="1" applyAlignment="1">
      <alignment horizontal="center" vertical="center" wrapText="1"/>
    </xf>
    <xf numFmtId="0" fontId="76" fillId="0" borderId="0" xfId="0" applyFont="1"/>
    <xf numFmtId="0" fontId="76" fillId="0" borderId="0" xfId="0" applyFont="1" applyAlignment="1">
      <alignment horizontal="justify" vertical="center"/>
    </xf>
    <xf numFmtId="0" fontId="11" fillId="0" borderId="13" xfId="0" applyFont="1" applyBorder="1" applyAlignment="1">
      <alignment horizontal="center" vertical="center" wrapText="1"/>
    </xf>
    <xf numFmtId="0" fontId="11" fillId="0" borderId="1" xfId="0" applyFont="1" applyBorder="1" applyAlignment="1">
      <alignment vertical="center" wrapText="1"/>
    </xf>
    <xf numFmtId="0" fontId="43" fillId="1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5" fillId="0" borderId="1" xfId="0" applyFont="1" applyBorder="1" applyAlignment="1">
      <alignment horizontal="center" vertical="center" wrapText="1"/>
    </xf>
    <xf numFmtId="0" fontId="77" fillId="13" borderId="1" xfId="0" applyFont="1" applyFill="1" applyBorder="1" applyAlignment="1">
      <alignment horizontal="center" vertical="center" wrapText="1"/>
    </xf>
    <xf numFmtId="0" fontId="65" fillId="13" borderId="1" xfId="0" applyFont="1" applyFill="1" applyBorder="1" applyAlignment="1">
      <alignment horizontal="center" vertical="center" wrapText="1"/>
    </xf>
    <xf numFmtId="0" fontId="65" fillId="6" borderId="1" xfId="0" applyFont="1" applyFill="1" applyBorder="1" applyAlignment="1">
      <alignment horizontal="center" vertical="center" wrapText="1"/>
    </xf>
    <xf numFmtId="0" fontId="11" fillId="4" borderId="1" xfId="0" applyFont="1" applyFill="1" applyBorder="1" applyAlignment="1">
      <alignment horizontal="justify" vertical="center" wrapText="1"/>
    </xf>
    <xf numFmtId="166" fontId="11" fillId="0" borderId="1" xfId="0" applyNumberFormat="1" applyFont="1" applyBorder="1" applyAlignment="1">
      <alignment horizontal="right" vertical="center" wrapText="1"/>
    </xf>
    <xf numFmtId="166" fontId="43" fillId="13" borderId="1" xfId="0" applyNumberFormat="1" applyFont="1" applyFill="1" applyBorder="1" applyAlignment="1">
      <alignment horizontal="right" vertical="center" wrapText="1"/>
    </xf>
    <xf numFmtId="166" fontId="11" fillId="13" borderId="1" xfId="0" applyNumberFormat="1" applyFont="1" applyFill="1" applyBorder="1" applyAlignment="1">
      <alignment horizontal="right" vertical="center" wrapText="1"/>
    </xf>
    <xf numFmtId="166" fontId="11" fillId="6" borderId="1" xfId="0" applyNumberFormat="1" applyFont="1" applyFill="1" applyBorder="1" applyAlignment="1">
      <alignment horizontal="right" vertical="center" wrapText="1"/>
    </xf>
    <xf numFmtId="166" fontId="11" fillId="4" borderId="1" xfId="0" applyNumberFormat="1" applyFont="1" applyFill="1" applyBorder="1" applyAlignment="1">
      <alignment horizontal="right" vertical="center" wrapText="1"/>
    </xf>
    <xf numFmtId="166" fontId="11" fillId="14" borderId="1" xfId="0" applyNumberFormat="1" applyFont="1" applyFill="1" applyBorder="1" applyAlignment="1">
      <alignment horizontal="right" vertical="center" wrapText="1"/>
    </xf>
    <xf numFmtId="0" fontId="71" fillId="0" borderId="0" xfId="0" applyFont="1" applyAlignment="1">
      <alignment vertical="center"/>
    </xf>
    <xf numFmtId="0" fontId="71" fillId="0" borderId="12" xfId="0" applyFont="1" applyBorder="1" applyAlignment="1">
      <alignment vertical="center"/>
    </xf>
    <xf numFmtId="0" fontId="71" fillId="0" borderId="9" xfId="0" applyFont="1" applyBorder="1" applyAlignment="1">
      <alignment horizontal="right" vertical="center" wrapText="1"/>
    </xf>
    <xf numFmtId="0" fontId="71" fillId="0" borderId="1" xfId="0" applyFont="1" applyBorder="1" applyAlignment="1">
      <alignment vertical="center"/>
    </xf>
    <xf numFmtId="0" fontId="16" fillId="7" borderId="1" xfId="0" applyFont="1" applyFill="1" applyBorder="1" applyAlignment="1">
      <alignment horizontal="justify" vertical="center" wrapText="1"/>
    </xf>
    <xf numFmtId="166" fontId="16" fillId="0" borderId="1" xfId="0" applyNumberFormat="1" applyFont="1" applyBorder="1" applyAlignment="1">
      <alignment horizontal="right" vertical="center" wrapText="1"/>
    </xf>
    <xf numFmtId="166" fontId="44" fillId="13" borderId="1" xfId="0" applyNumberFormat="1" applyFont="1" applyFill="1" applyBorder="1" applyAlignment="1">
      <alignment horizontal="right" vertical="center" wrapText="1"/>
    </xf>
    <xf numFmtId="166" fontId="16" fillId="13" borderId="1" xfId="0" applyNumberFormat="1" applyFont="1" applyFill="1" applyBorder="1" applyAlignment="1">
      <alignment horizontal="right" vertical="center" wrapText="1"/>
    </xf>
    <xf numFmtId="166" fontId="16" fillId="6" borderId="1" xfId="0" applyNumberFormat="1" applyFont="1" applyFill="1" applyBorder="1" applyAlignment="1">
      <alignment horizontal="right" vertical="center" wrapText="1"/>
    </xf>
    <xf numFmtId="166" fontId="16" fillId="14" borderId="1" xfId="0" applyNumberFormat="1" applyFont="1" applyFill="1" applyBorder="1" applyAlignment="1">
      <alignment horizontal="right" vertical="center" wrapText="1"/>
    </xf>
    <xf numFmtId="0" fontId="11" fillId="0" borderId="12" xfId="0" applyFont="1" applyBorder="1" applyAlignment="1">
      <alignment vertical="center"/>
    </xf>
    <xf numFmtId="0" fontId="11" fillId="0" borderId="9" xfId="0" applyFont="1" applyBorder="1" applyAlignment="1">
      <alignment horizontal="right" vertical="center" wrapText="1"/>
    </xf>
    <xf numFmtId="0" fontId="11" fillId="0" borderId="1" xfId="0" applyFont="1" applyBorder="1" applyAlignment="1">
      <alignment vertical="center"/>
    </xf>
    <xf numFmtId="0" fontId="16" fillId="0" borderId="12" xfId="0" applyFont="1" applyBorder="1" applyAlignment="1">
      <alignment vertical="center"/>
    </xf>
    <xf numFmtId="0" fontId="16" fillId="0" borderId="9" xfId="0" applyFont="1" applyBorder="1" applyAlignment="1">
      <alignment horizontal="right" vertical="center" wrapText="1"/>
    </xf>
    <xf numFmtId="0" fontId="11" fillId="7" borderId="1" xfId="0" applyFont="1" applyFill="1" applyBorder="1" applyAlignment="1">
      <alignment horizontal="justify" vertical="center" wrapText="1"/>
    </xf>
    <xf numFmtId="0" fontId="78" fillId="0" borderId="0" xfId="0" applyFont="1" applyAlignment="1">
      <alignment vertical="center"/>
    </xf>
    <xf numFmtId="165" fontId="17" fillId="0" borderId="0" xfId="1" applyNumberFormat="1" applyFont="1" applyAlignment="1">
      <alignment vertical="center"/>
    </xf>
    <xf numFmtId="0" fontId="79" fillId="0" borderId="0" xfId="0" applyFont="1" applyAlignment="1">
      <alignment vertical="center"/>
    </xf>
    <xf numFmtId="166" fontId="11" fillId="7" borderId="1" xfId="0" applyNumberFormat="1" applyFont="1" applyFill="1" applyBorder="1" applyAlignment="1">
      <alignment horizontal="right" vertical="center" wrapText="1"/>
    </xf>
    <xf numFmtId="166" fontId="44" fillId="0" borderId="1" xfId="0" applyNumberFormat="1" applyFont="1" applyBorder="1" applyAlignment="1">
      <alignment horizontal="right" vertical="center" wrapText="1"/>
    </xf>
    <xf numFmtId="0" fontId="71" fillId="0" borderId="1" xfId="0" applyFont="1" applyBorder="1" applyAlignment="1">
      <alignment horizontal="center" vertical="center" wrapText="1"/>
    </xf>
    <xf numFmtId="0" fontId="71" fillId="0" borderId="1" xfId="0" applyFont="1" applyBorder="1" applyAlignment="1">
      <alignment horizontal="justify" vertical="center" wrapText="1"/>
    </xf>
    <xf numFmtId="3" fontId="71" fillId="0" borderId="1" xfId="0" applyNumberFormat="1" applyFont="1" applyBorder="1" applyAlignment="1">
      <alignment horizontal="center" vertical="center" wrapText="1"/>
    </xf>
    <xf numFmtId="166" fontId="71" fillId="0" borderId="1" xfId="0" applyNumberFormat="1" applyFont="1" applyBorder="1" applyAlignment="1">
      <alignment horizontal="right" vertical="center" wrapText="1"/>
    </xf>
    <xf numFmtId="0" fontId="80" fillId="0" borderId="1" xfId="0" applyFont="1" applyBorder="1" applyAlignment="1">
      <alignment horizontal="justify" vertical="center" wrapText="1"/>
    </xf>
    <xf numFmtId="3" fontId="48" fillId="0" borderId="1" xfId="0" applyNumberFormat="1" applyFont="1" applyBorder="1" applyAlignment="1">
      <alignment horizontal="center" vertical="center"/>
    </xf>
    <xf numFmtId="0" fontId="48" fillId="0" borderId="1" xfId="0" applyFont="1" applyBorder="1" applyAlignment="1">
      <alignment horizontal="center" vertical="center" wrapText="1"/>
    </xf>
    <xf numFmtId="166" fontId="48" fillId="0" borderId="1" xfId="0" applyNumberFormat="1" applyFont="1" applyBorder="1" applyAlignment="1">
      <alignment horizontal="right" vertical="center" wrapText="1"/>
    </xf>
    <xf numFmtId="166" fontId="48" fillId="13" borderId="1" xfId="0" applyNumberFormat="1" applyFont="1" applyFill="1" applyBorder="1" applyAlignment="1">
      <alignment horizontal="right" vertical="center" wrapText="1"/>
    </xf>
    <xf numFmtId="166" fontId="48" fillId="0" borderId="1" xfId="0" applyNumberFormat="1" applyFont="1" applyBorder="1" applyAlignment="1">
      <alignment horizontal="right" vertical="center"/>
    </xf>
    <xf numFmtId="0" fontId="81" fillId="4" borderId="0" xfId="0" applyFont="1" applyFill="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1" xfId="0" applyFont="1" applyBorder="1" applyAlignment="1">
      <alignment horizontal="justify" vertical="center" wrapText="1"/>
    </xf>
    <xf numFmtId="166" fontId="16" fillId="0" borderId="1" xfId="0" applyNumberFormat="1" applyFont="1" applyBorder="1" applyAlignment="1">
      <alignment horizontal="right" vertical="center"/>
    </xf>
    <xf numFmtId="166" fontId="19"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wrapText="1"/>
    </xf>
    <xf numFmtId="166" fontId="18" fillId="13" borderId="1" xfId="0" applyNumberFormat="1" applyFont="1" applyFill="1" applyBorder="1" applyAlignment="1">
      <alignment horizontal="right" vertical="center" wrapText="1"/>
    </xf>
    <xf numFmtId="0" fontId="17" fillId="4" borderId="0" xfId="0" applyFont="1" applyFill="1" applyAlignment="1">
      <alignment vertical="center"/>
    </xf>
    <xf numFmtId="0" fontId="84"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horizontal="center" vertical="center"/>
    </xf>
    <xf numFmtId="166" fontId="44" fillId="13" borderId="1" xfId="0" applyNumberFormat="1" applyFont="1" applyFill="1" applyBorder="1" applyAlignment="1">
      <alignment horizontal="right" vertical="center"/>
    </xf>
    <xf numFmtId="166" fontId="18" fillId="0" borderId="1" xfId="0" applyNumberFormat="1" applyFont="1" applyBorder="1" applyAlignment="1">
      <alignment horizontal="right" vertical="center"/>
    </xf>
    <xf numFmtId="166" fontId="18" fillId="13" borderId="1" xfId="0" applyNumberFormat="1" applyFont="1" applyFill="1" applyBorder="1" applyAlignment="1">
      <alignment horizontal="right" vertical="center"/>
    </xf>
    <xf numFmtId="166" fontId="19" fillId="0" borderId="18" xfId="0" applyNumberFormat="1" applyFont="1" applyBorder="1" applyAlignment="1">
      <alignment horizontal="right" vertical="center" wrapText="1"/>
    </xf>
    <xf numFmtId="0" fontId="85" fillId="0" borderId="0" xfId="0" applyFont="1" applyAlignment="1">
      <alignment vertical="center"/>
    </xf>
    <xf numFmtId="0" fontId="86" fillId="0" borderId="0" xfId="0" applyFont="1" applyAlignment="1">
      <alignment vertical="center"/>
    </xf>
    <xf numFmtId="0" fontId="72" fillId="0" borderId="1" xfId="0" applyFont="1" applyBorder="1" applyAlignment="1">
      <alignment horizontal="center" vertical="center"/>
    </xf>
    <xf numFmtId="0" fontId="79" fillId="0" borderId="1" xfId="0" applyFont="1" applyBorder="1" applyAlignment="1">
      <alignment vertical="center"/>
    </xf>
    <xf numFmtId="0" fontId="86" fillId="13" borderId="1" xfId="0" applyFont="1" applyFill="1" applyBorder="1" applyAlignment="1">
      <alignment vertical="center"/>
    </xf>
    <xf numFmtId="0" fontId="87" fillId="13" borderId="1" xfId="0" applyFont="1" applyFill="1" applyBorder="1" applyAlignment="1">
      <alignment vertical="center"/>
    </xf>
    <xf numFmtId="0" fontId="88" fillId="0" borderId="1" xfId="0" applyFont="1" applyBorder="1" applyAlignment="1">
      <alignment vertical="center"/>
    </xf>
    <xf numFmtId="0" fontId="88" fillId="13" borderId="1" xfId="0" applyFont="1" applyFill="1" applyBorder="1" applyAlignment="1">
      <alignment vertical="center"/>
    </xf>
    <xf numFmtId="0" fontId="89" fillId="0" borderId="1" xfId="0" applyFont="1" applyBorder="1" applyAlignment="1">
      <alignment vertical="center"/>
    </xf>
    <xf numFmtId="0" fontId="89" fillId="13" borderId="1" xfId="0" applyFont="1" applyFill="1" applyBorder="1" applyAlignment="1">
      <alignment vertical="center"/>
    </xf>
    <xf numFmtId="0" fontId="8" fillId="0" borderId="0" xfId="0" applyFont="1"/>
    <xf numFmtId="0" fontId="15" fillId="13" borderId="1" xfId="0" applyFont="1" applyFill="1" applyBorder="1" applyAlignment="1">
      <alignment vertical="center"/>
    </xf>
    <xf numFmtId="0" fontId="79" fillId="13" borderId="1" xfId="0" applyFont="1" applyFill="1" applyBorder="1" applyAlignment="1">
      <alignment vertical="center"/>
    </xf>
    <xf numFmtId="3" fontId="8" fillId="0" borderId="0" xfId="0" applyNumberFormat="1" applyFont="1"/>
    <xf numFmtId="0" fontId="80" fillId="0" borderId="1" xfId="0" applyFont="1" applyBorder="1" applyAlignment="1">
      <alignment horizontal="center" vertical="center" wrapText="1"/>
    </xf>
    <xf numFmtId="0" fontId="48" fillId="0" borderId="1" xfId="0" applyFont="1" applyBorder="1" applyAlignment="1">
      <alignment horizontal="center" vertical="center"/>
    </xf>
    <xf numFmtId="0" fontId="83" fillId="0" borderId="1" xfId="0" applyFont="1" applyBorder="1" applyAlignment="1">
      <alignment vertical="center"/>
    </xf>
    <xf numFmtId="0" fontId="83" fillId="13" borderId="1" xfId="0" applyFont="1" applyFill="1" applyBorder="1" applyAlignment="1">
      <alignment vertical="center"/>
    </xf>
    <xf numFmtId="3" fontId="90" fillId="0" borderId="0" xfId="0" applyNumberFormat="1" applyFont="1"/>
    <xf numFmtId="3" fontId="15" fillId="0" borderId="0" xfId="0" applyNumberFormat="1" applyFont="1" applyAlignment="1">
      <alignment vertical="center"/>
    </xf>
    <xf numFmtId="3" fontId="79" fillId="0" borderId="0" xfId="0" applyNumberFormat="1" applyFont="1" applyAlignment="1">
      <alignment vertical="center"/>
    </xf>
    <xf numFmtId="0" fontId="71" fillId="0" borderId="9" xfId="0" applyFont="1" applyBorder="1" applyAlignment="1">
      <alignment horizontal="right" vertical="center"/>
    </xf>
    <xf numFmtId="3" fontId="19" fillId="0" borderId="1" xfId="0" applyNumberFormat="1" applyFont="1" applyBorder="1" applyAlignment="1">
      <alignment horizontal="center" vertical="center"/>
    </xf>
    <xf numFmtId="0" fontId="11" fillId="0" borderId="9" xfId="0" applyFont="1" applyBorder="1" applyAlignment="1">
      <alignment horizontal="right" vertical="center"/>
    </xf>
    <xf numFmtId="0" fontId="16" fillId="0" borderId="9" xfId="0" applyFont="1" applyBorder="1" applyAlignment="1">
      <alignment horizontal="right" vertical="center"/>
    </xf>
    <xf numFmtId="166" fontId="11" fillId="4"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3" fontId="16" fillId="0" borderId="1" xfId="0" applyNumberFormat="1" applyFont="1" applyBorder="1" applyAlignment="1">
      <alignment horizontal="right" vertical="center"/>
    </xf>
    <xf numFmtId="166" fontId="15" fillId="0" borderId="1" xfId="0" applyNumberFormat="1" applyFont="1" applyBorder="1" applyAlignment="1">
      <alignment horizontal="right" vertical="center"/>
    </xf>
    <xf numFmtId="166" fontId="79" fillId="0" borderId="1" xfId="0" applyNumberFormat="1" applyFont="1" applyBorder="1" applyAlignment="1">
      <alignment horizontal="right" vertical="center"/>
    </xf>
    <xf numFmtId="3" fontId="15" fillId="0" borderId="0" xfId="0" applyNumberFormat="1" applyFont="1"/>
    <xf numFmtId="3" fontId="79" fillId="0" borderId="0" xfId="0" applyNumberFormat="1" applyFont="1"/>
    <xf numFmtId="0" fontId="91" fillId="0" borderId="0" xfId="0" applyFont="1" applyAlignment="1">
      <alignment vertical="center"/>
    </xf>
    <xf numFmtId="3" fontId="71" fillId="0" borderId="1" xfId="0" applyNumberFormat="1" applyFont="1" applyBorder="1" applyAlignment="1">
      <alignment horizontal="right" vertical="center" wrapText="1"/>
    </xf>
    <xf numFmtId="0" fontId="15" fillId="0" borderId="1" xfId="0" applyFont="1" applyBorder="1" applyAlignment="1">
      <alignment vertical="center" wrapText="1"/>
    </xf>
    <xf numFmtId="166" fontId="15" fillId="0" borderId="1" xfId="0" applyNumberFormat="1" applyFont="1" applyBorder="1" applyAlignment="1">
      <alignment horizontal="center" vertical="center"/>
    </xf>
    <xf numFmtId="166" fontId="15" fillId="0" borderId="14" xfId="0" applyNumberFormat="1" applyFont="1" applyBorder="1" applyAlignment="1">
      <alignment horizontal="center" vertical="center"/>
    </xf>
    <xf numFmtId="166" fontId="15" fillId="0" borderId="2" xfId="0" applyNumberFormat="1" applyFont="1" applyBorder="1" applyAlignment="1">
      <alignment horizontal="center" vertical="center"/>
    </xf>
    <xf numFmtId="166" fontId="15" fillId="0" borderId="1" xfId="0" applyNumberFormat="1" applyFont="1" applyBorder="1" applyAlignment="1">
      <alignment vertical="center"/>
    </xf>
    <xf numFmtId="0" fontId="87" fillId="13" borderId="0" xfId="0" applyFont="1" applyFill="1" applyAlignment="1">
      <alignment vertical="center"/>
    </xf>
    <xf numFmtId="0" fontId="88" fillId="0" borderId="0" xfId="0" applyFont="1" applyAlignment="1">
      <alignment vertical="center"/>
    </xf>
    <xf numFmtId="0" fontId="88" fillId="13" borderId="0" xfId="0" applyFont="1" applyFill="1" applyAlignment="1">
      <alignment vertical="center"/>
    </xf>
    <xf numFmtId="0" fontId="51" fillId="0" borderId="1" xfId="0" applyFont="1" applyBorder="1" applyAlignment="1">
      <alignment vertical="center"/>
    </xf>
    <xf numFmtId="0" fontId="52" fillId="0" borderId="0" xfId="0" applyFont="1" applyAlignment="1">
      <alignment horizontal="center" vertical="center" wrapText="1"/>
    </xf>
    <xf numFmtId="0" fontId="16" fillId="4" borderId="1" xfId="0" applyFont="1" applyFill="1" applyBorder="1" applyAlignment="1">
      <alignment vertical="center"/>
    </xf>
    <xf numFmtId="0" fontId="11" fillId="4" borderId="1" xfId="0" applyFont="1" applyFill="1" applyBorder="1" applyAlignment="1">
      <alignment horizontal="center" vertical="center" wrapText="1"/>
    </xf>
    <xf numFmtId="0" fontId="46" fillId="10"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10" borderId="1" xfId="0" applyFont="1" applyFill="1" applyBorder="1" applyAlignment="1">
      <alignment horizontal="center" vertical="center" wrapText="1"/>
    </xf>
    <xf numFmtId="0" fontId="47" fillId="10" borderId="0" xfId="0" applyFont="1" applyFill="1" applyAlignment="1">
      <alignment horizontal="center" vertical="center" wrapText="1"/>
    </xf>
    <xf numFmtId="166" fontId="11" fillId="4" borderId="1" xfId="0" applyNumberFormat="1" applyFont="1" applyFill="1" applyBorder="1" applyAlignment="1">
      <alignment vertical="center"/>
    </xf>
    <xf numFmtId="166" fontId="43" fillId="13" borderId="1" xfId="0" applyNumberFormat="1" applyFont="1" applyFill="1" applyBorder="1" applyAlignment="1">
      <alignment horizontal="center" vertical="center" wrapText="1"/>
    </xf>
    <xf numFmtId="166" fontId="46" fillId="10" borderId="1" xfId="0" applyNumberFormat="1" applyFont="1" applyFill="1" applyBorder="1" applyAlignment="1">
      <alignment horizontal="center" vertical="center" wrapText="1"/>
    </xf>
    <xf numFmtId="166" fontId="47" fillId="13" borderId="1" xfId="0" applyNumberFormat="1" applyFont="1" applyFill="1" applyBorder="1" applyAlignment="1">
      <alignment horizontal="center" vertical="center" wrapText="1"/>
    </xf>
    <xf numFmtId="166" fontId="47" fillId="4" borderId="1" xfId="0" applyNumberFormat="1" applyFont="1" applyFill="1" applyBorder="1" applyAlignment="1">
      <alignment horizontal="center" vertical="center" wrapText="1"/>
    </xf>
    <xf numFmtId="166" fontId="47" fillId="4" borderId="0" xfId="0" applyNumberFormat="1" applyFont="1" applyFill="1" applyAlignment="1">
      <alignment horizontal="center" vertical="center" wrapText="1"/>
    </xf>
    <xf numFmtId="0" fontId="19" fillId="7" borderId="1" xfId="0" applyFont="1" applyFill="1" applyBorder="1" applyAlignment="1">
      <alignment horizontal="justify" vertical="center" wrapText="1"/>
    </xf>
    <xf numFmtId="166" fontId="52" fillId="4" borderId="1" xfId="0" applyNumberFormat="1" applyFont="1" applyFill="1" applyBorder="1" applyAlignment="1">
      <alignment horizontal="right" vertical="center" wrapText="1"/>
    </xf>
    <xf numFmtId="166" fontId="52" fillId="4" borderId="1" xfId="0" applyNumberFormat="1" applyFont="1" applyFill="1" applyBorder="1" applyAlignment="1">
      <alignment horizontal="center" vertical="center" wrapText="1"/>
    </xf>
    <xf numFmtId="166" fontId="19" fillId="13" borderId="1" xfId="0" applyNumberFormat="1" applyFont="1" applyFill="1" applyBorder="1" applyAlignment="1">
      <alignment horizontal="center" vertical="center" wrapText="1"/>
    </xf>
    <xf numFmtId="166" fontId="19" fillId="10" borderId="1" xfId="0" applyNumberFormat="1" applyFont="1" applyFill="1" applyBorder="1" applyAlignment="1">
      <alignment horizontal="center" vertical="center" wrapText="1"/>
    </xf>
    <xf numFmtId="166" fontId="52" fillId="4" borderId="0" xfId="0" applyNumberFormat="1" applyFont="1" applyFill="1" applyAlignment="1">
      <alignment horizontal="center" vertical="center" wrapText="1"/>
    </xf>
    <xf numFmtId="166" fontId="16" fillId="4" borderId="1" xfId="0" applyNumberFormat="1" applyFont="1" applyFill="1" applyBorder="1" applyAlignment="1">
      <alignment vertical="center"/>
    </xf>
    <xf numFmtId="166" fontId="16" fillId="4" borderId="1" xfId="0" applyNumberFormat="1" applyFont="1" applyFill="1" applyBorder="1" applyAlignment="1">
      <alignment horizontal="center" vertical="center" wrapText="1"/>
    </xf>
    <xf numFmtId="166" fontId="44" fillId="13" borderId="1" xfId="0" applyNumberFormat="1" applyFont="1" applyFill="1" applyBorder="1" applyAlignment="1">
      <alignment horizontal="center" vertical="center" wrapText="1"/>
    </xf>
    <xf numFmtId="166" fontId="18" fillId="10" borderId="1" xfId="0" applyNumberFormat="1" applyFont="1" applyFill="1" applyBorder="1" applyAlignment="1">
      <alignment horizontal="center" vertical="center" wrapText="1"/>
    </xf>
    <xf numFmtId="166" fontId="48" fillId="13" borderId="1" xfId="0" applyNumberFormat="1" applyFont="1" applyFill="1" applyBorder="1" applyAlignment="1">
      <alignment horizontal="center" vertical="center" wrapText="1"/>
    </xf>
    <xf numFmtId="166" fontId="48" fillId="10" borderId="1" xfId="0" applyNumberFormat="1" applyFont="1" applyFill="1" applyBorder="1" applyAlignment="1">
      <alignment horizontal="center" vertical="center" wrapText="1"/>
    </xf>
    <xf numFmtId="166" fontId="48" fillId="10" borderId="0" xfId="0" applyNumberFormat="1" applyFont="1" applyFill="1" applyAlignment="1">
      <alignment horizontal="center" vertical="center" wrapText="1"/>
    </xf>
    <xf numFmtId="166" fontId="47" fillId="10" borderId="1" xfId="0" applyNumberFormat="1" applyFont="1" applyFill="1" applyBorder="1" applyAlignment="1">
      <alignment horizontal="center" vertical="center" wrapText="1"/>
    </xf>
    <xf numFmtId="166" fontId="47" fillId="10" borderId="0" xfId="0" applyNumberFormat="1" applyFont="1" applyFill="1" applyAlignment="1">
      <alignment horizontal="center" vertical="center" wrapText="1"/>
    </xf>
    <xf numFmtId="166" fontId="48" fillId="13" borderId="17" xfId="0" applyNumberFormat="1" applyFont="1" applyFill="1" applyBorder="1" applyAlignment="1">
      <alignment horizontal="center" vertical="center" wrapText="1"/>
    </xf>
    <xf numFmtId="0" fontId="16" fillId="4" borderId="0" xfId="0" applyFont="1" applyFill="1" applyAlignment="1">
      <alignment vertical="center"/>
    </xf>
    <xf numFmtId="0" fontId="87" fillId="0" borderId="0" xfId="0" applyFont="1" applyAlignment="1">
      <alignment vertical="center"/>
    </xf>
    <xf numFmtId="166" fontId="47" fillId="0" borderId="0" xfId="0" applyNumberFormat="1" applyFont="1" applyAlignment="1">
      <alignment horizontal="center" vertical="center" wrapText="1"/>
    </xf>
    <xf numFmtId="0" fontId="65" fillId="7" borderId="1" xfId="0" applyFont="1" applyFill="1" applyBorder="1" applyAlignment="1">
      <alignment horizontal="justify" vertical="center" wrapText="1"/>
    </xf>
    <xf numFmtId="166" fontId="80" fillId="4" borderId="1" xfId="0" applyNumberFormat="1" applyFont="1" applyFill="1" applyBorder="1" applyAlignment="1">
      <alignment horizontal="center" vertical="center" wrapText="1"/>
    </xf>
    <xf numFmtId="166" fontId="77" fillId="13" borderId="1" xfId="0" applyNumberFormat="1" applyFont="1" applyFill="1" applyBorder="1" applyAlignment="1">
      <alignment horizontal="center" vertical="center" wrapText="1"/>
    </xf>
    <xf numFmtId="166" fontId="65" fillId="0" borderId="1" xfId="0" applyNumberFormat="1" applyFont="1" applyBorder="1" applyAlignment="1">
      <alignment horizontal="center" vertical="center" wrapText="1"/>
    </xf>
    <xf numFmtId="166" fontId="50" fillId="10" borderId="1" xfId="0" applyNumberFormat="1" applyFont="1" applyFill="1" applyBorder="1" applyAlignment="1">
      <alignment horizontal="center" vertical="center" wrapText="1"/>
    </xf>
    <xf numFmtId="166" fontId="80" fillId="0" borderId="1" xfId="0" applyNumberFormat="1" applyFont="1" applyBorder="1" applyAlignment="1">
      <alignment horizontal="center" vertical="center" wrapText="1"/>
    </xf>
    <xf numFmtId="166" fontId="80" fillId="13" borderId="1" xfId="0" applyNumberFormat="1" applyFont="1" applyFill="1" applyBorder="1" applyAlignment="1">
      <alignment horizontal="center" vertical="center" wrapText="1"/>
    </xf>
    <xf numFmtId="166" fontId="80" fillId="10" borderId="1" xfId="0" applyNumberFormat="1" applyFont="1" applyFill="1" applyBorder="1" applyAlignment="1">
      <alignment horizontal="center" vertical="center" wrapText="1"/>
    </xf>
    <xf numFmtId="166" fontId="80" fillId="10" borderId="0" xfId="0" applyNumberFormat="1" applyFont="1" applyFill="1" applyAlignment="1">
      <alignment horizontal="center" vertical="center" wrapText="1"/>
    </xf>
    <xf numFmtId="0" fontId="52" fillId="7" borderId="1" xfId="0" applyFont="1" applyFill="1" applyBorder="1" applyAlignment="1">
      <alignment horizontal="justify" vertical="center" wrapText="1"/>
    </xf>
    <xf numFmtId="166" fontId="52" fillId="13" borderId="1" xfId="0" applyNumberFormat="1" applyFont="1" applyFill="1" applyBorder="1" applyAlignment="1">
      <alignment horizontal="center" vertical="center" wrapText="1"/>
    </xf>
    <xf numFmtId="166" fontId="52" fillId="10" borderId="1" xfId="0" applyNumberFormat="1" applyFont="1" applyFill="1" applyBorder="1" applyAlignment="1">
      <alignment horizontal="center" vertical="center" wrapText="1"/>
    </xf>
    <xf numFmtId="0" fontId="63" fillId="0" borderId="4" xfId="0" applyFont="1" applyBorder="1" applyAlignment="1">
      <alignment horizontal="center" vertical="center" wrapText="1"/>
    </xf>
    <xf numFmtId="3" fontId="63" fillId="0" borderId="1" xfId="0" applyNumberFormat="1" applyFont="1" applyBorder="1" applyAlignment="1">
      <alignment horizontal="center" vertical="center" wrapText="1"/>
    </xf>
    <xf numFmtId="0" fontId="92" fillId="0" borderId="0" xfId="0" applyFont="1"/>
    <xf numFmtId="166" fontId="52" fillId="0" borderId="1" xfId="0" applyNumberFormat="1" applyFont="1" applyBorder="1" applyAlignment="1">
      <alignment horizontal="right" vertical="center" wrapText="1"/>
    </xf>
    <xf numFmtId="0" fontId="16" fillId="0" borderId="14" xfId="0" applyFont="1" applyBorder="1" applyAlignment="1">
      <alignment horizontal="justify" vertical="center" wrapText="1"/>
    </xf>
    <xf numFmtId="0" fontId="71" fillId="0" borderId="14" xfId="0" applyFont="1" applyBorder="1" applyAlignment="1">
      <alignment vertical="center"/>
    </xf>
    <xf numFmtId="0" fontId="16" fillId="0" borderId="14" xfId="0" applyFont="1" applyBorder="1" applyAlignment="1">
      <alignment vertical="center"/>
    </xf>
    <xf numFmtId="0" fontId="17" fillId="0" borderId="1" xfId="0" applyFont="1" applyBorder="1" applyAlignment="1">
      <alignment vertical="center"/>
    </xf>
    <xf numFmtId="0" fontId="78" fillId="0" borderId="1" xfId="0" applyFont="1" applyBorder="1" applyAlignment="1">
      <alignment vertical="center"/>
    </xf>
    <xf numFmtId="165" fontId="28" fillId="0" borderId="1" xfId="0" applyNumberFormat="1" applyFont="1" applyBorder="1" applyAlignment="1">
      <alignment horizontal="center" vertical="center" wrapText="1"/>
    </xf>
    <xf numFmtId="166" fontId="11" fillId="15" borderId="1" xfId="0" applyNumberFormat="1" applyFont="1" applyFill="1" applyBorder="1" applyAlignment="1">
      <alignment horizontal="right" vertical="center" wrapText="1"/>
    </xf>
    <xf numFmtId="0" fontId="62" fillId="0" borderId="1" xfId="0" applyFont="1" applyBorder="1" applyAlignment="1">
      <alignment horizontal="left"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75" fillId="0" borderId="0" xfId="0" applyFont="1" applyAlignment="1">
      <alignment horizontal="left" vertical="center" wrapText="1"/>
    </xf>
    <xf numFmtId="0" fontId="42" fillId="0" borderId="0" xfId="0" applyFont="1" applyAlignment="1">
      <alignment horizontal="center" vertical="center" wrapText="1"/>
    </xf>
    <xf numFmtId="0" fontId="64" fillId="0" borderId="5" xfId="0" applyFont="1" applyBorder="1" applyAlignment="1">
      <alignment horizontal="right" vertical="center" wrapText="1"/>
    </xf>
    <xf numFmtId="0" fontId="61" fillId="3" borderId="14" xfId="0" applyFont="1" applyFill="1" applyBorder="1" applyAlignment="1">
      <alignment horizontal="center" vertical="center" wrapText="1"/>
    </xf>
    <xf numFmtId="0" fontId="61" fillId="3" borderId="15" xfId="0" applyFont="1" applyFill="1" applyBorder="1" applyAlignment="1">
      <alignment horizontal="center" vertical="center" wrapText="1"/>
    </xf>
    <xf numFmtId="0" fontId="61" fillId="3" borderId="2" xfId="0" applyFont="1" applyFill="1" applyBorder="1" applyAlignment="1">
      <alignment horizontal="center" vertical="center" wrapText="1"/>
    </xf>
    <xf numFmtId="0" fontId="7"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5" fillId="0" borderId="0" xfId="0" applyFont="1" applyAlignment="1">
      <alignment horizontal="center" vertical="center"/>
    </xf>
    <xf numFmtId="166" fontId="15" fillId="0" borderId="1" xfId="0" applyNumberFormat="1" applyFont="1" applyBorder="1" applyAlignment="1">
      <alignment horizontal="center" vertical="center"/>
    </xf>
    <xf numFmtId="166" fontId="15" fillId="0" borderId="14" xfId="0" applyNumberFormat="1" applyFont="1" applyBorder="1" applyAlignment="1">
      <alignment horizontal="center" vertical="center"/>
    </xf>
    <xf numFmtId="166" fontId="15" fillId="0" borderId="15" xfId="0" applyNumberFormat="1" applyFont="1" applyBorder="1" applyAlignment="1">
      <alignment horizontal="center" vertical="center"/>
    </xf>
    <xf numFmtId="166" fontId="15" fillId="0" borderId="2" xfId="0" applyNumberFormat="1" applyFont="1" applyBorder="1" applyAlignment="1">
      <alignment horizontal="center" vertical="center"/>
    </xf>
    <xf numFmtId="0" fontId="11" fillId="6" borderId="9"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1" fillId="0" borderId="1"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wrapText="1"/>
    </xf>
    <xf numFmtId="0" fontId="7" fillId="0" borderId="9" xfId="0" applyFont="1" applyBorder="1" applyAlignment="1">
      <alignment horizontal="center"/>
    </xf>
    <xf numFmtId="0" fontId="7" fillId="0" borderId="0" xfId="0" applyFont="1" applyAlignment="1">
      <alignment horizontal="center"/>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67" fillId="0" borderId="0" xfId="0" applyFont="1" applyAlignment="1">
      <alignment horizontal="center" vertical="center" wrapText="1"/>
    </xf>
    <xf numFmtId="0" fontId="10" fillId="0" borderId="0" xfId="0" applyFont="1" applyAlignment="1">
      <alignment horizontal="center" vertical="center" wrapText="1"/>
    </xf>
    <xf numFmtId="0" fontId="66" fillId="0" borderId="0" xfId="0" applyFont="1" applyAlignment="1">
      <alignment horizontal="center" vertical="center" wrapText="1"/>
    </xf>
    <xf numFmtId="0" fontId="14"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3" fontId="32" fillId="2" borderId="3" xfId="0" applyNumberFormat="1" applyFont="1" applyFill="1" applyBorder="1" applyAlignment="1">
      <alignment horizontal="center" vertical="center" wrapText="1"/>
    </xf>
    <xf numFmtId="3" fontId="32" fillId="2" borderId="4"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2" fillId="0" borderId="1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left" vertical="center" wrapText="1"/>
    </xf>
    <xf numFmtId="0" fontId="32" fillId="0" borderId="12" xfId="0" applyFont="1" applyBorder="1" applyAlignment="1">
      <alignment horizontal="left" vertical="center" wrapText="1"/>
    </xf>
    <xf numFmtId="0" fontId="32" fillId="0" borderId="8" xfId="0" applyFont="1" applyBorder="1" applyAlignment="1">
      <alignment horizontal="left" vertical="center" wrapText="1"/>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 xfId="0" applyFont="1" applyBorder="1" applyAlignment="1">
      <alignment horizontal="center" vertical="center"/>
    </xf>
    <xf numFmtId="0" fontId="32" fillId="0" borderId="4" xfId="0" applyFont="1" applyBorder="1" applyAlignment="1">
      <alignment horizontal="center" vertical="center"/>
    </xf>
    <xf numFmtId="0" fontId="32" fillId="0" borderId="2" xfId="0" applyFont="1" applyBorder="1" applyAlignment="1">
      <alignment horizontal="left" vertical="center" wrapText="1"/>
    </xf>
    <xf numFmtId="3" fontId="36" fillId="0" borderId="3" xfId="0" applyNumberFormat="1" applyFont="1" applyBorder="1" applyAlignment="1">
      <alignment horizontal="center" vertical="center" wrapText="1"/>
    </xf>
    <xf numFmtId="3" fontId="36" fillId="0" borderId="4"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36" fillId="0" borderId="8" xfId="0"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2" fillId="0" borderId="14"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left" vertic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2" xfId="0" applyFont="1" applyFill="1" applyBorder="1" applyAlignment="1">
      <alignment horizontal="center"/>
    </xf>
    <xf numFmtId="0" fontId="9" fillId="0" borderId="0" xfId="0" applyFont="1" applyAlignment="1">
      <alignment horizontal="left" vertical="center"/>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center"/>
    </xf>
    <xf numFmtId="0" fontId="5" fillId="2" borderId="14" xfId="0" applyFont="1" applyFill="1" applyBorder="1" applyAlignment="1">
      <alignment horizontal="center"/>
    </xf>
    <xf numFmtId="0" fontId="5" fillId="2" borderId="2" xfId="0" applyFont="1" applyFill="1" applyBorder="1" applyAlignment="1">
      <alignment horizontal="center"/>
    </xf>
    <xf numFmtId="0" fontId="67" fillId="2" borderId="5" xfId="0" applyFont="1" applyFill="1" applyBorder="1" applyAlignment="1">
      <alignment horizontal="center" vertical="center"/>
    </xf>
    <xf numFmtId="0" fontId="40" fillId="2" borderId="14" xfId="0" applyFont="1" applyFill="1" applyBorder="1" applyAlignment="1">
      <alignment horizontal="center" vertical="center"/>
    </xf>
    <xf numFmtId="0" fontId="40" fillId="2" borderId="2" xfId="0" applyFont="1" applyFill="1" applyBorder="1" applyAlignment="1">
      <alignment horizontal="center" vertical="center"/>
    </xf>
    <xf numFmtId="0" fontId="3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9" fillId="2" borderId="0" xfId="0" applyFont="1" applyFill="1" applyAlignment="1">
      <alignment horizontal="center"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164" fontId="30" fillId="0" borderId="3" xfId="1" applyNumberFormat="1" applyFont="1" applyFill="1" applyBorder="1" applyAlignment="1">
      <alignment horizontal="center" vertical="center" wrapText="1"/>
    </xf>
    <xf numFmtId="164" fontId="30" fillId="0" borderId="10" xfId="1" applyNumberFormat="1" applyFont="1" applyFill="1" applyBorder="1" applyAlignment="1">
      <alignment horizontal="center" vertical="center" wrapText="1"/>
    </xf>
    <xf numFmtId="164" fontId="30" fillId="0" borderId="4" xfId="1" applyNumberFormat="1" applyFont="1" applyFill="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wrapText="1"/>
    </xf>
    <xf numFmtId="165" fontId="39" fillId="9" borderId="1" xfId="0" applyNumberFormat="1" applyFont="1" applyFill="1" applyBorder="1" applyAlignment="1">
      <alignment horizontal="center" vertical="center"/>
    </xf>
    <xf numFmtId="164" fontId="30" fillId="2" borderId="1" xfId="1"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41" fillId="2" borderId="14" xfId="1" applyNumberFormat="1" applyFont="1" applyFill="1" applyBorder="1" applyAlignment="1">
      <alignment horizontal="center" vertical="center"/>
    </xf>
    <xf numFmtId="164" fontId="41" fillId="2" borderId="15" xfId="1" applyNumberFormat="1" applyFont="1" applyFill="1" applyBorder="1" applyAlignment="1">
      <alignment horizontal="center" vertical="center"/>
    </xf>
    <xf numFmtId="164" fontId="41" fillId="2" borderId="2" xfId="1" applyNumberFormat="1" applyFont="1" applyFill="1" applyBorder="1" applyAlignment="1">
      <alignment horizontal="center" vertical="center"/>
    </xf>
  </cellXfs>
  <cellStyles count="4">
    <cellStyle name="Comma" xfId="1" builtinId="3"/>
    <cellStyle name="Normal" xfId="0" builtinId="0"/>
    <cellStyle name="Normal 2" xfId="2" xr:uid="{00000000-0005-0000-0000-000002000000}"/>
    <cellStyle name="Normal 3" xfId="3" xr:uid="{911BD7BE-E1E6-4F69-82D4-D3BA4ADA231A}"/>
  </cellStyles>
  <dxfs count="0"/>
  <tableStyles count="0" defaultTableStyle="TableStyleMedium2" defaultPivotStyle="PivotStyleLight16"/>
  <colors>
    <mruColors>
      <color rgb="FFD1F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hu&#7849;n%20H&#432;&#417;ng%20Danh%20s&#225;ch%20CA%20(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guye\OneDrive\Documents\thu%20h&#250;t%201.3.20\Thu%20h&#250;t%202025%20sau%20khi%20h&#7907;p%20nh&#7845;t%20HPHD\Pogf%20g&#7917;i%20l&#224;m%20&#273;&#7873;%20&#225;n\05.10.25%20H&#7857;ng%20Th&#234;m%20PA2%20Phu%20luc%205A,%205B,%206%207,8%20kem%20De%20an.1.xlsx" TargetMode="External"/><Relationship Id="rId1" Type="http://schemas.openxmlformats.org/officeDocument/2006/relationships/externalLinkPath" Target="file:///C:\Users\nguye\OneDrive\Documents\thu%20h&#250;t%201.3.20\Thu%20h&#250;t%202025%20sau%20khi%20h&#7907;p%20nh&#7845;t%20HPHD\Pogf%20g&#7917;i%20l&#224;m%20&#273;&#7873;%20&#225;n\05.10.25%20H&#7857;ng%20Th&#234;m%20PA2%20Phu%20luc%205A,%205B,%206%207,8%20kem%20De%20an.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y%20TCHC/X&#194;Y%20D&#7920;NG%20NQ/D&#7920;%20TO&#193;N%20KINH%20PH&#205;/H&#7857;ng%20D%2014.8.25%20Bi&#7875;u%20&#273;&#224;o%20t&#7841;o-kinh%20ph&#2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ownloads\Bi&#7875;u%20&#273;&#224;o%20t&#7841;o-kinh%20ph&#237;%2013.8.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ettk\Desktop\25.7.2025.%20BI&#7874;U%20M&#7850;U%20R&#192;%20SO&#193;T%20TH&#7920;C%20TR&#7840;NG%20NH&#194;N%20L&#7920;C%20V&#192;%20NHU%20C&#7846;U%20H&#7894;%20TR&#7906;\13.8.202.5.%20Ly-Kinh%20ph&#237;%20ho%20tro%20nhan%20luc%20y%20te.xlsx" TargetMode="External"/><Relationship Id="rId1" Type="http://schemas.openxmlformats.org/officeDocument/2006/relationships/externalLinkPath" Target="file:///C:\Users\settk\Desktop\25.7.2025.%20BI&#7874;U%20M&#7850;U%20R&#192;%20SO&#193;T%20TH&#7920;C%20TR&#7840;NG%20NH&#194;N%20L&#7920;C%20V&#192;%20NHU%20C&#7846;U%20H&#7894;%20TR&#7906;\13.8.202.5.%20Ly-Kinh%20ph&#237;%20ho%20tro%20nhan%20luc%20y%20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o"/>
      <sheetName val="static"/>
      <sheetName val="diachi"/>
      <sheetName val="Danh mục mang đi Ho so"/>
    </sheetNames>
    <sheetDataSet>
      <sheetData sheetId="0"/>
      <sheetData sheetId="1"/>
      <sheetData sheetId="2">
        <row r="2">
          <cell r="C2" t="str">
            <v>Quận Ba Đình</v>
          </cell>
        </row>
      </sheetData>
      <sheetData sheetId="3">
        <row r="2">
          <cell r="D2" t="str">
            <v>Nữ</v>
          </cell>
        </row>
        <row r="3">
          <cell r="D3" t="str">
            <v>Nam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Đao tao dự kien"/>
      <sheetName val="7,9,25 Đào tạo TH"/>
      <sheetName val="5,10,25 PL05 Dao tao van bang"/>
      <sheetName val="PL.05B Tang cuong CM tuyen duoi"/>
      <sheetName val="PL 06. Chuyen giao ki thuat"/>
      <sheetName val="PL07. Dai ngo"/>
      <sheetName val="PL08. Thu hút"/>
      <sheetName val="tổng hợp các loại kinh phí"/>
      <sheetName val="PL08. Thu hút (Co Dieu duong)"/>
      <sheetName val="PA2 tong hợp các loại kinh phí"/>
    </sheetNames>
    <sheetDataSet>
      <sheetData sheetId="0">
        <row r="4">
          <cell r="E4">
            <v>93</v>
          </cell>
          <cell r="F4">
            <v>121</v>
          </cell>
          <cell r="G4">
            <v>44</v>
          </cell>
          <cell r="H4">
            <v>329</v>
          </cell>
          <cell r="I4">
            <v>328</v>
          </cell>
          <cell r="J4">
            <v>314</v>
          </cell>
          <cell r="K4">
            <v>324</v>
          </cell>
          <cell r="L4">
            <v>315</v>
          </cell>
        </row>
        <row r="5">
          <cell r="E5">
            <v>151</v>
          </cell>
          <cell r="F5">
            <v>918</v>
          </cell>
          <cell r="G5">
            <v>780</v>
          </cell>
          <cell r="H5">
            <v>1506</v>
          </cell>
          <cell r="I5">
            <v>1390</v>
          </cell>
          <cell r="J5">
            <v>1295</v>
          </cell>
          <cell r="K5">
            <v>1277</v>
          </cell>
          <cell r="L5">
            <v>1248</v>
          </cell>
        </row>
        <row r="6">
          <cell r="E6">
            <v>1</v>
          </cell>
          <cell r="F6">
            <v>1</v>
          </cell>
          <cell r="G6">
            <v>0</v>
          </cell>
          <cell r="H6">
            <v>17</v>
          </cell>
          <cell r="I6">
            <v>18</v>
          </cell>
          <cell r="J6">
            <v>13</v>
          </cell>
          <cell r="K6">
            <v>16</v>
          </cell>
          <cell r="L6">
            <v>15</v>
          </cell>
        </row>
        <row r="7">
          <cell r="E7">
            <v>1</v>
          </cell>
          <cell r="F7">
            <v>1</v>
          </cell>
          <cell r="G7">
            <v>0</v>
          </cell>
          <cell r="H7">
            <v>16</v>
          </cell>
          <cell r="I7">
            <v>17</v>
          </cell>
          <cell r="J7">
            <v>13</v>
          </cell>
          <cell r="K7">
            <v>15</v>
          </cell>
          <cell r="L7">
            <v>15</v>
          </cell>
        </row>
        <row r="8">
          <cell r="E8">
            <v>0</v>
          </cell>
          <cell r="F8">
            <v>0</v>
          </cell>
          <cell r="G8">
            <v>0</v>
          </cell>
          <cell r="H8">
            <v>1</v>
          </cell>
          <cell r="I8">
            <v>1</v>
          </cell>
          <cell r="J8">
            <v>0</v>
          </cell>
          <cell r="K8">
            <v>1</v>
          </cell>
          <cell r="L8">
            <v>0</v>
          </cell>
        </row>
        <row r="9">
          <cell r="E9">
            <v>23</v>
          </cell>
          <cell r="F9">
            <v>34</v>
          </cell>
          <cell r="G9">
            <v>21</v>
          </cell>
          <cell r="H9">
            <v>160</v>
          </cell>
          <cell r="I9">
            <v>155</v>
          </cell>
          <cell r="J9">
            <v>154</v>
          </cell>
          <cell r="K9">
            <v>149</v>
          </cell>
          <cell r="L9">
            <v>141</v>
          </cell>
        </row>
        <row r="10">
          <cell r="E10">
            <v>12</v>
          </cell>
          <cell r="F10">
            <v>26</v>
          </cell>
          <cell r="G10">
            <v>9</v>
          </cell>
          <cell r="H10">
            <v>115</v>
          </cell>
          <cell r="I10">
            <v>123</v>
          </cell>
          <cell r="J10">
            <v>122</v>
          </cell>
          <cell r="K10">
            <v>125</v>
          </cell>
          <cell r="L10">
            <v>120</v>
          </cell>
        </row>
        <row r="11">
          <cell r="E11">
            <v>11</v>
          </cell>
          <cell r="F11">
            <v>8</v>
          </cell>
          <cell r="G11">
            <v>12</v>
          </cell>
          <cell r="H11">
            <v>45</v>
          </cell>
          <cell r="I11">
            <v>32</v>
          </cell>
          <cell r="J11">
            <v>32</v>
          </cell>
          <cell r="K11">
            <v>24</v>
          </cell>
          <cell r="L11">
            <v>21</v>
          </cell>
          <cell r="P11">
            <v>2</v>
          </cell>
          <cell r="Q11">
            <v>3</v>
          </cell>
          <cell r="R11">
            <v>2</v>
          </cell>
          <cell r="S11">
            <v>3</v>
          </cell>
          <cell r="T11">
            <v>4</v>
          </cell>
          <cell r="U11">
            <v>2</v>
          </cell>
        </row>
        <row r="12">
          <cell r="E12">
            <v>9</v>
          </cell>
          <cell r="F12">
            <v>10</v>
          </cell>
          <cell r="G12">
            <v>5</v>
          </cell>
          <cell r="H12">
            <v>15</v>
          </cell>
          <cell r="I12">
            <v>14</v>
          </cell>
          <cell r="J12">
            <v>9</v>
          </cell>
          <cell r="K12">
            <v>10</v>
          </cell>
          <cell r="L12">
            <v>10</v>
          </cell>
        </row>
        <row r="13">
          <cell r="E13">
            <v>4</v>
          </cell>
          <cell r="F13">
            <v>6</v>
          </cell>
          <cell r="G13">
            <v>1</v>
          </cell>
          <cell r="H13">
            <v>13</v>
          </cell>
          <cell r="I13">
            <v>11</v>
          </cell>
          <cell r="J13">
            <v>7</v>
          </cell>
          <cell r="K13">
            <v>7</v>
          </cell>
          <cell r="L13">
            <v>7</v>
          </cell>
        </row>
        <row r="14">
          <cell r="E14">
            <v>5</v>
          </cell>
          <cell r="F14">
            <v>4</v>
          </cell>
          <cell r="G14">
            <v>4</v>
          </cell>
          <cell r="H14">
            <v>2</v>
          </cell>
          <cell r="I14">
            <v>3</v>
          </cell>
          <cell r="J14">
            <v>2</v>
          </cell>
          <cell r="K14">
            <v>3</v>
          </cell>
          <cell r="L14">
            <v>3</v>
          </cell>
        </row>
        <row r="15">
          <cell r="E15">
            <v>184</v>
          </cell>
          <cell r="F15">
            <v>184</v>
          </cell>
          <cell r="G15">
            <v>118</v>
          </cell>
          <cell r="H15">
            <v>429</v>
          </cell>
          <cell r="I15">
            <v>353</v>
          </cell>
          <cell r="J15">
            <v>321</v>
          </cell>
          <cell r="K15">
            <v>295</v>
          </cell>
          <cell r="L15">
            <v>275</v>
          </cell>
        </row>
        <row r="16">
          <cell r="E16">
            <v>76</v>
          </cell>
          <cell r="F16">
            <v>87</v>
          </cell>
          <cell r="G16">
            <v>34</v>
          </cell>
          <cell r="H16">
            <v>178</v>
          </cell>
          <cell r="I16">
            <v>168</v>
          </cell>
          <cell r="J16">
            <v>166</v>
          </cell>
          <cell r="K16">
            <v>169</v>
          </cell>
          <cell r="L16">
            <v>166</v>
          </cell>
        </row>
        <row r="17">
          <cell r="E17">
            <v>108</v>
          </cell>
          <cell r="F17">
            <v>97</v>
          </cell>
          <cell r="G17">
            <v>84</v>
          </cell>
          <cell r="H17">
            <v>251</v>
          </cell>
          <cell r="I17">
            <v>185</v>
          </cell>
          <cell r="J17">
            <v>155</v>
          </cell>
          <cell r="K17">
            <v>126</v>
          </cell>
          <cell r="L17">
            <v>109</v>
          </cell>
          <cell r="P17">
            <v>6</v>
          </cell>
          <cell r="Q17">
            <v>23</v>
          </cell>
          <cell r="R17">
            <v>12</v>
          </cell>
          <cell r="S17">
            <v>10</v>
          </cell>
          <cell r="T17">
            <v>11</v>
          </cell>
          <cell r="U17">
            <v>9</v>
          </cell>
        </row>
        <row r="18">
          <cell r="E18">
            <v>27</v>
          </cell>
          <cell r="F18">
            <v>22</v>
          </cell>
          <cell r="G18">
            <v>17</v>
          </cell>
          <cell r="H18">
            <v>78</v>
          </cell>
          <cell r="I18">
            <v>62</v>
          </cell>
          <cell r="J18">
            <v>56</v>
          </cell>
          <cell r="K18">
            <v>51</v>
          </cell>
          <cell r="L18">
            <v>50</v>
          </cell>
        </row>
        <row r="19">
          <cell r="E19">
            <v>0</v>
          </cell>
          <cell r="F19">
            <v>0</v>
          </cell>
          <cell r="G19">
            <v>0</v>
          </cell>
          <cell r="H19">
            <v>0</v>
          </cell>
          <cell r="I19">
            <v>0</v>
          </cell>
          <cell r="J19">
            <v>0</v>
          </cell>
          <cell r="K19">
            <v>0</v>
          </cell>
          <cell r="L19">
            <v>0</v>
          </cell>
        </row>
        <row r="20">
          <cell r="E20">
            <v>27</v>
          </cell>
          <cell r="F20">
            <v>22</v>
          </cell>
          <cell r="G20">
            <v>17</v>
          </cell>
          <cell r="H20">
            <v>78</v>
          </cell>
          <cell r="I20">
            <v>62</v>
          </cell>
          <cell r="J20">
            <v>56</v>
          </cell>
          <cell r="K20">
            <v>51</v>
          </cell>
          <cell r="L20">
            <v>50</v>
          </cell>
        </row>
        <row r="21">
          <cell r="F21">
            <v>788</v>
          </cell>
          <cell r="G21">
            <v>663</v>
          </cell>
          <cell r="H21">
            <v>1136</v>
          </cell>
          <cell r="I21">
            <v>1116</v>
          </cell>
          <cell r="J21">
            <v>1056</v>
          </cell>
          <cell r="K21">
            <v>1080</v>
          </cell>
          <cell r="L21">
            <v>1072</v>
          </cell>
        </row>
        <row r="22">
          <cell r="F22">
            <v>1</v>
          </cell>
          <cell r="G22">
            <v>0</v>
          </cell>
          <cell r="H22">
            <v>7</v>
          </cell>
          <cell r="I22">
            <v>9</v>
          </cell>
          <cell r="J22">
            <v>6</v>
          </cell>
          <cell r="K22">
            <v>8</v>
          </cell>
          <cell r="L22">
            <v>7</v>
          </cell>
        </row>
        <row r="23">
          <cell r="F23">
            <v>787</v>
          </cell>
          <cell r="G23">
            <v>663</v>
          </cell>
          <cell r="H23">
            <v>1129</v>
          </cell>
          <cell r="I23">
            <v>1107</v>
          </cell>
          <cell r="J23">
            <v>1050</v>
          </cell>
          <cell r="K23">
            <v>1072</v>
          </cell>
          <cell r="L23">
            <v>1065</v>
          </cell>
        </row>
      </sheetData>
      <sheetData sheetId="1">
        <row r="8">
          <cell r="E8">
            <v>1</v>
          </cell>
          <cell r="F8">
            <v>1</v>
          </cell>
          <cell r="G8">
            <v>0</v>
          </cell>
          <cell r="H8">
            <v>16</v>
          </cell>
          <cell r="I8">
            <v>17</v>
          </cell>
          <cell r="J8">
            <v>13</v>
          </cell>
          <cell r="K8">
            <v>15</v>
          </cell>
          <cell r="L8">
            <v>15</v>
          </cell>
        </row>
        <row r="9">
          <cell r="E9">
            <v>0</v>
          </cell>
          <cell r="F9">
            <v>0</v>
          </cell>
          <cell r="G9">
            <v>0</v>
          </cell>
          <cell r="H9">
            <v>1</v>
          </cell>
          <cell r="I9">
            <v>1</v>
          </cell>
          <cell r="J9">
            <v>0</v>
          </cell>
          <cell r="K9">
            <v>1</v>
          </cell>
          <cell r="L9">
            <v>0</v>
          </cell>
        </row>
        <row r="11">
          <cell r="E11">
            <v>12</v>
          </cell>
          <cell r="F11">
            <v>26</v>
          </cell>
          <cell r="G11">
            <v>9</v>
          </cell>
          <cell r="H11">
            <v>115</v>
          </cell>
          <cell r="I11">
            <v>123</v>
          </cell>
          <cell r="J11">
            <v>122</v>
          </cell>
          <cell r="K11">
            <v>125</v>
          </cell>
          <cell r="L11">
            <v>120</v>
          </cell>
        </row>
        <row r="12">
          <cell r="E12">
            <v>11</v>
          </cell>
          <cell r="F12">
            <v>8</v>
          </cell>
          <cell r="G12">
            <v>12</v>
          </cell>
          <cell r="H12">
            <v>45</v>
          </cell>
          <cell r="I12">
            <v>32</v>
          </cell>
          <cell r="J12">
            <v>32</v>
          </cell>
          <cell r="K12">
            <v>24</v>
          </cell>
          <cell r="L12">
            <v>21</v>
          </cell>
        </row>
        <row r="14">
          <cell r="E14">
            <v>4</v>
          </cell>
          <cell r="F14">
            <v>6</v>
          </cell>
          <cell r="G14">
            <v>1</v>
          </cell>
          <cell r="H14">
            <v>13</v>
          </cell>
          <cell r="I14">
            <v>11</v>
          </cell>
          <cell r="J14">
            <v>7</v>
          </cell>
          <cell r="K14">
            <v>7</v>
          </cell>
          <cell r="L14">
            <v>7</v>
          </cell>
        </row>
        <row r="15">
          <cell r="E15">
            <v>5</v>
          </cell>
          <cell r="F15">
            <v>4</v>
          </cell>
          <cell r="G15">
            <v>4</v>
          </cell>
          <cell r="H15">
            <v>2</v>
          </cell>
          <cell r="I15">
            <v>3</v>
          </cell>
          <cell r="J15">
            <v>2</v>
          </cell>
          <cell r="K15">
            <v>3</v>
          </cell>
          <cell r="L15">
            <v>3</v>
          </cell>
        </row>
        <row r="17">
          <cell r="E17">
            <v>76</v>
          </cell>
          <cell r="F17">
            <v>87</v>
          </cell>
          <cell r="G17">
            <v>34</v>
          </cell>
          <cell r="H17">
            <v>178</v>
          </cell>
          <cell r="I17">
            <v>168</v>
          </cell>
          <cell r="J17">
            <v>166</v>
          </cell>
          <cell r="K17">
            <v>169</v>
          </cell>
          <cell r="L17">
            <v>166</v>
          </cell>
        </row>
        <row r="18">
          <cell r="E18">
            <v>108</v>
          </cell>
          <cell r="F18">
            <v>97</v>
          </cell>
          <cell r="G18">
            <v>84</v>
          </cell>
          <cell r="H18">
            <v>251</v>
          </cell>
          <cell r="I18">
            <v>185</v>
          </cell>
          <cell r="J18">
            <v>155</v>
          </cell>
          <cell r="K18">
            <v>126</v>
          </cell>
          <cell r="L18">
            <v>109</v>
          </cell>
        </row>
        <row r="20">
          <cell r="E20">
            <v>0</v>
          </cell>
          <cell r="F20">
            <v>0</v>
          </cell>
          <cell r="G20">
            <v>0</v>
          </cell>
          <cell r="H20">
            <v>0</v>
          </cell>
          <cell r="I20">
            <v>0</v>
          </cell>
          <cell r="J20">
            <v>0</v>
          </cell>
          <cell r="K20">
            <v>0</v>
          </cell>
          <cell r="L20">
            <v>0</v>
          </cell>
        </row>
        <row r="21">
          <cell r="E21">
            <v>27</v>
          </cell>
          <cell r="F21">
            <v>22</v>
          </cell>
          <cell r="G21">
            <v>17</v>
          </cell>
          <cell r="H21">
            <v>78</v>
          </cell>
          <cell r="I21">
            <v>62</v>
          </cell>
          <cell r="J21">
            <v>56</v>
          </cell>
          <cell r="K21">
            <v>51</v>
          </cell>
          <cell r="L21">
            <v>50</v>
          </cell>
        </row>
        <row r="23">
          <cell r="F23">
            <v>1</v>
          </cell>
          <cell r="G23">
            <v>0</v>
          </cell>
          <cell r="H23">
            <v>7</v>
          </cell>
          <cell r="I23">
            <v>9</v>
          </cell>
          <cell r="J23">
            <v>6</v>
          </cell>
          <cell r="K23">
            <v>8</v>
          </cell>
          <cell r="L23">
            <v>7</v>
          </cell>
        </row>
        <row r="24">
          <cell r="F24">
            <v>787</v>
          </cell>
          <cell r="G24">
            <v>663</v>
          </cell>
          <cell r="H24">
            <v>1129</v>
          </cell>
          <cell r="I24">
            <v>1107</v>
          </cell>
          <cell r="J24">
            <v>1050</v>
          </cell>
          <cell r="K24">
            <v>1072</v>
          </cell>
          <cell r="L24">
            <v>1065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Đao tao dự kien"/>
      <sheetName val="Đao tao so lieu TH"/>
      <sheetName val="Đ.tao-Kinh phi 4 nhóm"/>
    </sheetNames>
    <sheetDataSet>
      <sheetData sheetId="0">
        <row r="11">
          <cell r="E11">
            <v>11</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Đao tao dự kien"/>
      <sheetName val="Đao tao so lieu TH"/>
      <sheetName val="Đ.tao-Kinh phi 4 nhóm"/>
      <sheetName val="Đ.tao-nhom 3-4"/>
      <sheetName val="C. giao, t. cường CM &amp; KP 7.8"/>
      <sheetName val="C. giao, t. cường CM &amp; KP 25.7"/>
      <sheetName val=" C.giao KT &amp; KP xong 23.7"/>
      <sheetName val="tang cuong tuyen duoi, KP xong "/>
      <sheetName val=" Nhu cầu thu hút (lúc đầu)"/>
      <sheetName val="KP t.hút 7 ,8,23 NS cho DV  (2"/>
      <sheetName val="KP t.hút 23,11 NS cho DV3,4 "/>
      <sheetName val="KP t.hút 25,7 xongNS cho DV 3,4"/>
      <sheetName val="KP t.hút xong t6 (them BS, KTV)"/>
      <sheetName val=" Ncầu thu hút cuối (+BS KTV)"/>
      <sheetName val=" tổng các kinh phí xong"/>
      <sheetName val="KInh phí cho thu hút (lúc đầu)"/>
      <sheetName val="NL, KP (H.tháng, 1 lần 03,12,23"/>
      <sheetName val="NL, k.phí  HT hàng tháng(1.9.23"/>
      <sheetName val="NL, kinh phí  HT hàng tháng xon"/>
    </sheetNames>
    <sheetDataSet>
      <sheetData sheetId="0" refreshError="1">
        <row r="10">
          <cell r="E10">
            <v>11</v>
          </cell>
        </row>
        <row r="59">
          <cell r="E59">
            <v>1</v>
          </cell>
        </row>
      </sheetData>
      <sheetData sheetId="1" refreshError="1">
        <row r="23">
          <cell r="E23">
            <v>787</v>
          </cell>
          <cell r="F23">
            <v>663</v>
          </cell>
          <cell r="G23">
            <v>1129</v>
          </cell>
          <cell r="H23">
            <v>1107</v>
          </cell>
          <cell r="I23">
            <v>1050</v>
          </cell>
          <cell r="J23">
            <v>1072</v>
          </cell>
          <cell r="K23">
            <v>1065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Thu hút"/>
      <sheetName val="2. Tang cuong tuyen duoi"/>
      <sheetName val="3. Chuyen giao ki thuat "/>
      <sheetName val="4. Đãi ngộ"/>
    </sheetNames>
    <sheetDataSet>
      <sheetData sheetId="0"/>
      <sheetData sheetId="1"/>
      <sheetData sheetId="2">
        <row r="437">
          <cell r="E437">
            <v>2</v>
          </cell>
          <cell r="F437">
            <v>4</v>
          </cell>
          <cell r="G437">
            <v>3</v>
          </cell>
          <cell r="H437">
            <v>3</v>
          </cell>
          <cell r="I437">
            <v>0</v>
          </cell>
          <cell r="J437">
            <v>0</v>
          </cell>
          <cell r="K437">
            <v>93600</v>
          </cell>
          <cell r="L437">
            <v>93600</v>
          </cell>
        </row>
        <row r="438">
          <cell r="E438">
            <v>2</v>
          </cell>
          <cell r="F438">
            <v>2</v>
          </cell>
          <cell r="G438">
            <v>3</v>
          </cell>
          <cell r="H438">
            <v>3</v>
          </cell>
          <cell r="I438">
            <v>0</v>
          </cell>
          <cell r="J438">
            <v>0</v>
          </cell>
          <cell r="K438">
            <v>46800</v>
          </cell>
          <cell r="L438">
            <v>46800</v>
          </cell>
        </row>
        <row r="439">
          <cell r="E439">
            <v>2</v>
          </cell>
          <cell r="F439">
            <v>2</v>
          </cell>
          <cell r="G439">
            <v>3</v>
          </cell>
          <cell r="H439">
            <v>3</v>
          </cell>
          <cell r="I439">
            <v>0</v>
          </cell>
          <cell r="J439">
            <v>0</v>
          </cell>
          <cell r="K439">
            <v>46800</v>
          </cell>
          <cell r="L439">
            <v>46800</v>
          </cell>
        </row>
        <row r="440">
          <cell r="E440">
            <v>2</v>
          </cell>
          <cell r="F440">
            <v>2</v>
          </cell>
          <cell r="G440">
            <v>3</v>
          </cell>
          <cell r="H440">
            <v>3</v>
          </cell>
          <cell r="I440">
            <v>0</v>
          </cell>
          <cell r="J440">
            <v>0</v>
          </cell>
          <cell r="K440">
            <v>46800</v>
          </cell>
          <cell r="L440">
            <v>46800</v>
          </cell>
        </row>
        <row r="441">
          <cell r="E441">
            <v>2</v>
          </cell>
          <cell r="F441">
            <v>2</v>
          </cell>
          <cell r="G441">
            <v>3</v>
          </cell>
          <cell r="H441">
            <v>3</v>
          </cell>
          <cell r="I441">
            <v>0</v>
          </cell>
          <cell r="J441">
            <v>0</v>
          </cell>
          <cell r="K441">
            <v>46800</v>
          </cell>
          <cell r="L441">
            <v>46800</v>
          </cell>
        </row>
      </sheetData>
      <sheetData sheetId="3"/>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T21"/>
  <sheetViews>
    <sheetView tabSelected="1" topLeftCell="B1" zoomScale="60" zoomScaleNormal="60" workbookViewId="0">
      <selection activeCell="B15" sqref="B15:T15"/>
    </sheetView>
  </sheetViews>
  <sheetFormatPr defaultRowHeight="14.4" x14ac:dyDescent="0.3"/>
  <cols>
    <col min="1" max="1" width="0" hidden="1" customWidth="1"/>
    <col min="2" max="2" width="20" style="245" customWidth="1"/>
    <col min="3" max="3" width="14" style="245" bestFit="1" customWidth="1"/>
    <col min="4" max="17" width="14.33203125" style="245" customWidth="1"/>
    <col min="18" max="18" width="16.88671875" style="245" customWidth="1"/>
    <col min="19" max="19" width="14" style="245" customWidth="1"/>
    <col min="20" max="20" width="16.88671875" style="245" customWidth="1"/>
  </cols>
  <sheetData>
    <row r="1" spans="1:20" ht="26.25" customHeight="1" x14ac:dyDescent="0.3">
      <c r="B1" s="635" t="s">
        <v>626</v>
      </c>
      <c r="C1" s="635"/>
      <c r="D1" s="635"/>
      <c r="E1" s="635"/>
      <c r="F1" s="635"/>
      <c r="G1" s="635"/>
      <c r="H1" s="635"/>
      <c r="I1" s="635"/>
      <c r="J1" s="635"/>
      <c r="K1" s="635"/>
      <c r="L1" s="635"/>
      <c r="M1" s="635"/>
      <c r="N1" s="635"/>
      <c r="O1" s="635"/>
      <c r="P1" s="635"/>
      <c r="Q1" s="635"/>
      <c r="R1" s="635"/>
      <c r="S1" s="635"/>
      <c r="T1" s="635"/>
    </row>
    <row r="2" spans="1:20" ht="28.5" customHeight="1" x14ac:dyDescent="0.3">
      <c r="Q2" s="636" t="s">
        <v>548</v>
      </c>
      <c r="R2" s="636"/>
      <c r="S2" s="636"/>
      <c r="T2" s="636"/>
    </row>
    <row r="3" spans="1:20" s="222" customFormat="1" ht="21" customHeight="1" x14ac:dyDescent="0.3">
      <c r="A3" s="222" t="s">
        <v>541</v>
      </c>
      <c r="B3" s="246"/>
      <c r="C3" s="637" t="s">
        <v>4</v>
      </c>
      <c r="D3" s="638"/>
      <c r="E3" s="639"/>
      <c r="F3" s="637" t="s">
        <v>6</v>
      </c>
      <c r="G3" s="638"/>
      <c r="H3" s="639"/>
      <c r="I3" s="637" t="s">
        <v>7</v>
      </c>
      <c r="J3" s="638"/>
      <c r="K3" s="639"/>
      <c r="L3" s="637" t="s">
        <v>8</v>
      </c>
      <c r="M3" s="638"/>
      <c r="N3" s="639"/>
      <c r="O3" s="637" t="s">
        <v>9</v>
      </c>
      <c r="P3" s="638"/>
      <c r="Q3" s="639"/>
      <c r="R3" s="637" t="s">
        <v>542</v>
      </c>
      <c r="S3" s="638"/>
      <c r="T3" s="639"/>
    </row>
    <row r="4" spans="1:20" ht="37.5" customHeight="1" x14ac:dyDescent="0.3">
      <c r="B4" s="244"/>
      <c r="C4" s="247" t="s">
        <v>533</v>
      </c>
      <c r="D4" s="244" t="s">
        <v>546</v>
      </c>
      <c r="E4" s="244" t="s">
        <v>547</v>
      </c>
      <c r="F4" s="247" t="s">
        <v>533</v>
      </c>
      <c r="G4" s="244" t="s">
        <v>546</v>
      </c>
      <c r="H4" s="244" t="s">
        <v>547</v>
      </c>
      <c r="I4" s="247" t="s">
        <v>533</v>
      </c>
      <c r="J4" s="244" t="s">
        <v>546</v>
      </c>
      <c r="K4" s="244" t="s">
        <v>547</v>
      </c>
      <c r="L4" s="247" t="s">
        <v>533</v>
      </c>
      <c r="M4" s="244" t="s">
        <v>546</v>
      </c>
      <c r="N4" s="244" t="s">
        <v>547</v>
      </c>
      <c r="O4" s="247" t="s">
        <v>533</v>
      </c>
      <c r="P4" s="244" t="s">
        <v>546</v>
      </c>
      <c r="Q4" s="244" t="s">
        <v>547</v>
      </c>
      <c r="R4" s="247" t="s">
        <v>533</v>
      </c>
      <c r="S4" s="244" t="s">
        <v>546</v>
      </c>
      <c r="T4" s="244" t="s">
        <v>547</v>
      </c>
    </row>
    <row r="5" spans="1:20" ht="37.5" customHeight="1" x14ac:dyDescent="0.3">
      <c r="B5" s="627" t="s">
        <v>658</v>
      </c>
      <c r="C5" s="241">
        <f>C6+C7</f>
        <v>76679.75</v>
      </c>
      <c r="D5" s="241">
        <f t="shared" ref="D5:T5" si="0">D6+D7</f>
        <v>20228.25</v>
      </c>
      <c r="E5" s="241">
        <f t="shared" si="0"/>
        <v>56451.5</v>
      </c>
      <c r="F5" s="241">
        <f t="shared" si="0"/>
        <v>100239.25</v>
      </c>
      <c r="G5" s="241">
        <f t="shared" si="0"/>
        <v>38641.5</v>
      </c>
      <c r="H5" s="241">
        <f t="shared" si="0"/>
        <v>61597.75</v>
      </c>
      <c r="I5" s="241">
        <f t="shared" si="0"/>
        <v>123707</v>
      </c>
      <c r="J5" s="241">
        <f t="shared" si="0"/>
        <v>49673.25</v>
      </c>
      <c r="K5" s="241">
        <f t="shared" si="0"/>
        <v>74033.75</v>
      </c>
      <c r="L5" s="241">
        <f t="shared" si="0"/>
        <v>116306</v>
      </c>
      <c r="M5" s="241">
        <f t="shared" si="0"/>
        <v>50880.25</v>
      </c>
      <c r="N5" s="241">
        <f t="shared" si="0"/>
        <v>65425.75</v>
      </c>
      <c r="O5" s="241">
        <f t="shared" si="0"/>
        <v>112690.25</v>
      </c>
      <c r="P5" s="241">
        <f t="shared" si="0"/>
        <v>51183.75</v>
      </c>
      <c r="Q5" s="241">
        <f t="shared" si="0"/>
        <v>61506.5</v>
      </c>
      <c r="R5" s="241">
        <f t="shared" si="0"/>
        <v>529622.25</v>
      </c>
      <c r="S5" s="241">
        <f t="shared" si="0"/>
        <v>210607</v>
      </c>
      <c r="T5" s="241">
        <f t="shared" si="0"/>
        <v>319015.25</v>
      </c>
    </row>
    <row r="6" spans="1:20" ht="28.2" customHeight="1" x14ac:dyDescent="0.3">
      <c r="B6" s="248" t="s">
        <v>536</v>
      </c>
      <c r="C6" s="241">
        <f t="shared" ref="C6:C7" si="1">D6+E6</f>
        <v>63110.75</v>
      </c>
      <c r="D6" s="625">
        <f>'5,10,25 PL8A KPDao tao '!P10</f>
        <v>20207.25</v>
      </c>
      <c r="E6" s="625">
        <f>'5,10,25 PL8A KPDao tao '!P13</f>
        <v>42903.5</v>
      </c>
      <c r="F6" s="241">
        <f t="shared" ref="F6:F7" si="2">G6+H6</f>
        <v>86928.25</v>
      </c>
      <c r="G6" s="625">
        <f>'5,10,25 PL8A KPDao tao '!T10</f>
        <v>38614.5</v>
      </c>
      <c r="H6" s="625">
        <f>'5,10,25 PL8A KPDao tao '!T13</f>
        <v>48313.75</v>
      </c>
      <c r="I6" s="241">
        <f t="shared" ref="I6:I7" si="3">J6+K6</f>
        <v>111089</v>
      </c>
      <c r="J6" s="625">
        <f>'5,10,25 PL8A KPDao tao '!X10</f>
        <v>49655.25</v>
      </c>
      <c r="K6" s="625">
        <f>'5,10,25 PL8A KPDao tao '!X13</f>
        <v>61433.75</v>
      </c>
      <c r="L6" s="241">
        <f t="shared" ref="L6:L7" si="4">M6+N6</f>
        <v>103418</v>
      </c>
      <c r="M6" s="625">
        <f>'5,10,25 PL8A KPDao tao '!AB10</f>
        <v>50856.25</v>
      </c>
      <c r="N6" s="625">
        <f>'5,10,25 PL8A KPDao tao '!AB13</f>
        <v>52561.75</v>
      </c>
      <c r="O6" s="241">
        <f t="shared" ref="O6:O7" si="5">P6+Q6</f>
        <v>99889.25</v>
      </c>
      <c r="P6" s="625">
        <f>'5,10,25 PL8A KPDao tao '!AF10</f>
        <v>51162.75</v>
      </c>
      <c r="Q6" s="625">
        <f>'5,10,25 PL8A KPDao tao '!AF13</f>
        <v>48726.5</v>
      </c>
      <c r="R6" s="241">
        <f t="shared" ref="R6:R9" si="6">C6+F6+I6+L6+O6</f>
        <v>464435.25</v>
      </c>
      <c r="S6" s="241">
        <f t="shared" ref="S6:S10" si="7">D6+G6+J6+M6+P6</f>
        <v>210496</v>
      </c>
      <c r="T6" s="241">
        <f t="shared" ref="T6:T10" si="8">E6+H6+K6+N6+Q6</f>
        <v>253939.25</v>
      </c>
    </row>
    <row r="7" spans="1:20" ht="31.2" customHeight="1" x14ac:dyDescent="0.3">
      <c r="B7" s="248" t="s">
        <v>537</v>
      </c>
      <c r="C7" s="241">
        <f t="shared" si="1"/>
        <v>13569</v>
      </c>
      <c r="D7" s="625">
        <f>'5,10,25 PL8A KPDao tao '!P11</f>
        <v>21</v>
      </c>
      <c r="E7" s="625">
        <f>'5,10,25 PL8A KPDao tao '!P14</f>
        <v>13548</v>
      </c>
      <c r="F7" s="241">
        <f t="shared" si="2"/>
        <v>13311</v>
      </c>
      <c r="G7" s="625">
        <f>'5,10,25 PL8A KPDao tao '!T11</f>
        <v>27</v>
      </c>
      <c r="H7" s="625">
        <f>'5,10,25 PL8A KPDao tao '!T14</f>
        <v>13284</v>
      </c>
      <c r="I7" s="241">
        <f t="shared" si="3"/>
        <v>12618</v>
      </c>
      <c r="J7" s="625">
        <f>'5,10,25 PL8A KPDao tao '!X11</f>
        <v>18</v>
      </c>
      <c r="K7" s="625">
        <f>'5,10,25 PL8A KPDao tao '!X14</f>
        <v>12600</v>
      </c>
      <c r="L7" s="241">
        <f t="shared" si="4"/>
        <v>12888</v>
      </c>
      <c r="M7" s="625">
        <f>'5,10,25 PL8A KPDao tao '!AB11</f>
        <v>24</v>
      </c>
      <c r="N7" s="625">
        <f>'5,10,25 PL8A KPDao tao '!AB14</f>
        <v>12864</v>
      </c>
      <c r="O7" s="241">
        <f t="shared" si="5"/>
        <v>12801</v>
      </c>
      <c r="P7" s="625">
        <f>'5,10,25 PL8A KPDao tao '!AF11</f>
        <v>21</v>
      </c>
      <c r="Q7" s="625">
        <f>'5,10,25 PL8A KPDao tao '!AF14</f>
        <v>12780</v>
      </c>
      <c r="R7" s="241">
        <f t="shared" si="6"/>
        <v>65187</v>
      </c>
      <c r="S7" s="241">
        <f t="shared" si="7"/>
        <v>111</v>
      </c>
      <c r="T7" s="241">
        <f t="shared" si="8"/>
        <v>65076</v>
      </c>
    </row>
    <row r="8" spans="1:20" ht="38.25" customHeight="1" x14ac:dyDescent="0.3">
      <c r="B8" s="248" t="s">
        <v>543</v>
      </c>
      <c r="C8" s="241">
        <f>D8+E8</f>
        <v>3576</v>
      </c>
      <c r="D8" s="242">
        <v>1688.4</v>
      </c>
      <c r="E8" s="242">
        <v>1887.6</v>
      </c>
      <c r="F8" s="241">
        <f>G8+H8</f>
        <v>3606.6</v>
      </c>
      <c r="G8" s="242">
        <v>1155.5999999999999</v>
      </c>
      <c r="H8" s="242">
        <v>2451</v>
      </c>
      <c r="I8" s="241">
        <f>J8+K8</f>
        <v>3745.8</v>
      </c>
      <c r="J8" s="242">
        <v>1438.8</v>
      </c>
      <c r="K8" s="242">
        <v>2307</v>
      </c>
      <c r="L8" s="241">
        <f>M8+N8</f>
        <v>2586</v>
      </c>
      <c r="M8" s="242">
        <v>1225.8</v>
      </c>
      <c r="N8" s="242">
        <v>1360.2</v>
      </c>
      <c r="O8" s="241">
        <f>P8+Q8</f>
        <v>1949.4</v>
      </c>
      <c r="P8" s="242">
        <v>882.6</v>
      </c>
      <c r="Q8" s="242">
        <v>1066.8</v>
      </c>
      <c r="R8" s="241">
        <f t="shared" si="6"/>
        <v>15463.800000000001</v>
      </c>
      <c r="S8" s="241">
        <f t="shared" si="7"/>
        <v>6391.2000000000007</v>
      </c>
      <c r="T8" s="241">
        <f t="shared" si="8"/>
        <v>9072.6</v>
      </c>
    </row>
    <row r="9" spans="1:20" ht="38.25" customHeight="1" x14ac:dyDescent="0.3">
      <c r="B9" s="248" t="s">
        <v>544</v>
      </c>
      <c r="C9" s="241">
        <f t="shared" ref="C9" si="9">D9+E9</f>
        <v>1174.8</v>
      </c>
      <c r="D9" s="242"/>
      <c r="E9" s="242">
        <v>1174.8</v>
      </c>
      <c r="F9" s="241">
        <f t="shared" ref="F9" si="10">G9+H9</f>
        <v>1011.6</v>
      </c>
      <c r="G9" s="242"/>
      <c r="H9" s="242">
        <v>1011.6</v>
      </c>
      <c r="I9" s="241">
        <f t="shared" ref="I9" si="11">J9+K9</f>
        <v>867.6</v>
      </c>
      <c r="J9" s="242"/>
      <c r="K9" s="242">
        <v>867.6</v>
      </c>
      <c r="L9" s="241">
        <f t="shared" ref="L9" si="12">M9+N9</f>
        <v>886.8</v>
      </c>
      <c r="M9" s="242"/>
      <c r="N9" s="242">
        <v>886.8</v>
      </c>
      <c r="O9" s="241">
        <f t="shared" ref="O9" si="13">P9+Q9</f>
        <v>771.6</v>
      </c>
      <c r="P9" s="242"/>
      <c r="Q9" s="242">
        <v>771.6</v>
      </c>
      <c r="R9" s="241">
        <f t="shared" si="6"/>
        <v>4712.4000000000005</v>
      </c>
      <c r="S9" s="241">
        <f t="shared" si="7"/>
        <v>0</v>
      </c>
      <c r="T9" s="241">
        <f t="shared" si="8"/>
        <v>4712.4000000000005</v>
      </c>
    </row>
    <row r="10" spans="1:20" ht="38.25" customHeight="1" x14ac:dyDescent="0.3">
      <c r="B10" s="458" t="s">
        <v>545</v>
      </c>
      <c r="C10" s="241">
        <f>D10+E10</f>
        <v>44890</v>
      </c>
      <c r="D10" s="242">
        <f>'PL 11. thu hút 50%BS, ko Đ.d'!AG24</f>
        <v>11510</v>
      </c>
      <c r="E10" s="242">
        <f>'PL 11. thu hút 50%BS, ko Đ.d'!AI24</f>
        <v>33380</v>
      </c>
      <c r="F10" s="241">
        <f>G10+H10</f>
        <v>46190</v>
      </c>
      <c r="G10" s="242">
        <f>'PL 11. thu hút 50%BS, ko Đ.d'!AG25</f>
        <v>11340</v>
      </c>
      <c r="H10" s="242">
        <f>'PL 11. thu hút 50%BS, ko Đ.d'!AI25</f>
        <v>34850</v>
      </c>
      <c r="I10" s="241">
        <f>J10+K10</f>
        <v>40260</v>
      </c>
      <c r="J10" s="242">
        <f>'PL 11. thu hút 50%BS, ko Đ.d'!AG26</f>
        <v>11310</v>
      </c>
      <c r="K10" s="242">
        <f>'PL 11. thu hút 50%BS, ko Đ.d'!AI26</f>
        <v>28950</v>
      </c>
      <c r="L10" s="241">
        <f>M10+N10</f>
        <v>36210</v>
      </c>
      <c r="M10" s="242">
        <f>'PL 11. thu hút 50%BS, ko Đ.d'!AG27</f>
        <v>11560</v>
      </c>
      <c r="N10" s="242">
        <f>'PL 11. thu hút 50%BS, ko Đ.d'!AI27</f>
        <v>24650</v>
      </c>
      <c r="O10" s="241">
        <f>P10+Q10</f>
        <v>35760</v>
      </c>
      <c r="P10" s="242">
        <f>'PL 11. thu hút 50%BS, ko Đ.d'!AG28</f>
        <v>11160</v>
      </c>
      <c r="Q10" s="242">
        <f>'PL 11. thu hút 50%BS, ko Đ.d'!AI28</f>
        <v>24600</v>
      </c>
      <c r="R10" s="241">
        <f>C10+F10+I10+L10+O10</f>
        <v>203310</v>
      </c>
      <c r="S10" s="241">
        <f t="shared" si="7"/>
        <v>56880</v>
      </c>
      <c r="T10" s="241">
        <f t="shared" si="8"/>
        <v>146430</v>
      </c>
    </row>
    <row r="11" spans="1:20" ht="30.75" customHeight="1" x14ac:dyDescent="0.3">
      <c r="B11" s="249" t="s">
        <v>10</v>
      </c>
      <c r="C11" s="243">
        <f t="shared" ref="C11:T11" si="14">SUM(C6:C10)</f>
        <v>126320.55</v>
      </c>
      <c r="D11" s="243">
        <f t="shared" si="14"/>
        <v>33426.65</v>
      </c>
      <c r="E11" s="243">
        <f t="shared" si="14"/>
        <v>92893.9</v>
      </c>
      <c r="F11" s="243">
        <f t="shared" si="14"/>
        <v>151047.45000000001</v>
      </c>
      <c r="G11" s="243">
        <f t="shared" si="14"/>
        <v>51137.1</v>
      </c>
      <c r="H11" s="243">
        <f t="shared" si="14"/>
        <v>99910.35</v>
      </c>
      <c r="I11" s="243">
        <f>SUM(I6:I10)</f>
        <v>168580.40000000002</v>
      </c>
      <c r="J11" s="243">
        <f t="shared" si="14"/>
        <v>62422.05</v>
      </c>
      <c r="K11" s="243">
        <f t="shared" si="14"/>
        <v>106158.35</v>
      </c>
      <c r="L11" s="243">
        <f t="shared" si="14"/>
        <v>155988.79999999999</v>
      </c>
      <c r="M11" s="243">
        <f t="shared" si="14"/>
        <v>63666.05</v>
      </c>
      <c r="N11" s="243">
        <f t="shared" si="14"/>
        <v>92322.75</v>
      </c>
      <c r="O11" s="243">
        <f t="shared" si="14"/>
        <v>151171.25</v>
      </c>
      <c r="P11" s="243">
        <f t="shared" si="14"/>
        <v>63226.35</v>
      </c>
      <c r="Q11" s="243">
        <f t="shared" si="14"/>
        <v>87944.9</v>
      </c>
      <c r="R11" s="243">
        <f t="shared" si="14"/>
        <v>753108.45000000007</v>
      </c>
      <c r="S11" s="243">
        <f t="shared" si="14"/>
        <v>273878.2</v>
      </c>
      <c r="T11" s="243">
        <f t="shared" si="14"/>
        <v>479230.25</v>
      </c>
    </row>
    <row r="14" spans="1:20" ht="51" customHeight="1" x14ac:dyDescent="0.3">
      <c r="B14" s="634" t="s">
        <v>620</v>
      </c>
      <c r="C14" s="634"/>
      <c r="D14" s="634"/>
      <c r="E14" s="634"/>
      <c r="F14" s="634"/>
      <c r="G14" s="634"/>
      <c r="H14" s="634"/>
      <c r="I14" s="634"/>
      <c r="J14" s="634"/>
      <c r="K14" s="634"/>
      <c r="L14" s="634"/>
      <c r="M14" s="634"/>
      <c r="N14" s="634"/>
      <c r="O14" s="634"/>
      <c r="P14" s="634"/>
      <c r="Q14" s="634"/>
      <c r="R14" s="634"/>
      <c r="S14" s="634"/>
      <c r="T14" s="634"/>
    </row>
    <row r="15" spans="1:20" ht="18" x14ac:dyDescent="0.3">
      <c r="B15" s="634" t="s">
        <v>621</v>
      </c>
      <c r="C15" s="634"/>
      <c r="D15" s="634"/>
      <c r="E15" s="634"/>
      <c r="F15" s="634"/>
      <c r="G15" s="634"/>
      <c r="H15" s="634"/>
      <c r="I15" s="634"/>
      <c r="J15" s="634"/>
      <c r="K15" s="634"/>
      <c r="L15" s="634"/>
      <c r="M15" s="634"/>
      <c r="N15" s="634"/>
      <c r="O15" s="634"/>
      <c r="P15" s="634"/>
      <c r="Q15" s="634"/>
      <c r="R15" s="634"/>
      <c r="S15" s="634"/>
      <c r="T15" s="634"/>
    </row>
    <row r="16" spans="1:20" ht="18" x14ac:dyDescent="0.35">
      <c r="B16" s="462" t="s">
        <v>622</v>
      </c>
    </row>
    <row r="17" spans="2:20" ht="58.5" customHeight="1" x14ac:dyDescent="0.3">
      <c r="B17" s="634" t="s">
        <v>623</v>
      </c>
      <c r="C17" s="634"/>
      <c r="D17" s="634"/>
      <c r="E17" s="634"/>
      <c r="F17" s="634"/>
      <c r="G17" s="634"/>
      <c r="H17" s="634"/>
      <c r="I17" s="634"/>
      <c r="J17" s="634"/>
      <c r="K17" s="634"/>
      <c r="L17" s="634"/>
      <c r="M17" s="634"/>
      <c r="N17" s="634"/>
      <c r="O17" s="634"/>
      <c r="P17" s="634"/>
      <c r="Q17" s="634"/>
      <c r="R17" s="634"/>
      <c r="S17" s="634"/>
      <c r="T17" s="634"/>
    </row>
    <row r="18" spans="2:20" ht="96" customHeight="1" x14ac:dyDescent="0.3">
      <c r="B18" s="634" t="s">
        <v>624</v>
      </c>
      <c r="C18" s="634"/>
      <c r="D18" s="634"/>
      <c r="E18" s="634"/>
      <c r="F18" s="634"/>
      <c r="G18" s="634"/>
      <c r="H18" s="634"/>
      <c r="I18" s="634"/>
      <c r="J18" s="634"/>
      <c r="K18" s="634"/>
      <c r="L18" s="634"/>
      <c r="M18" s="634"/>
      <c r="N18" s="634"/>
      <c r="O18" s="634"/>
      <c r="P18" s="634"/>
      <c r="Q18" s="634"/>
      <c r="R18" s="634"/>
      <c r="S18" s="634"/>
      <c r="T18" s="634"/>
    </row>
    <row r="19" spans="2:20" ht="192.75" customHeight="1" x14ac:dyDescent="0.3">
      <c r="B19" s="634" t="s">
        <v>625</v>
      </c>
      <c r="C19" s="634"/>
      <c r="D19" s="634"/>
      <c r="E19" s="634"/>
      <c r="F19" s="634"/>
      <c r="G19" s="634"/>
      <c r="H19" s="634"/>
      <c r="I19" s="634"/>
      <c r="J19" s="634"/>
      <c r="K19" s="634"/>
      <c r="L19" s="634"/>
      <c r="M19" s="634"/>
      <c r="N19" s="634"/>
      <c r="O19" s="634"/>
      <c r="P19" s="634"/>
      <c r="Q19" s="634"/>
      <c r="R19" s="634"/>
      <c r="S19" s="634"/>
      <c r="T19" s="634"/>
    </row>
    <row r="20" spans="2:20" ht="18" x14ac:dyDescent="0.3">
      <c r="B20" s="463"/>
    </row>
    <row r="21" spans="2:20" ht="18" x14ac:dyDescent="0.3">
      <c r="B21" s="463"/>
    </row>
  </sheetData>
  <mergeCells count="13">
    <mergeCell ref="B1:T1"/>
    <mergeCell ref="Q2:T2"/>
    <mergeCell ref="R3:T3"/>
    <mergeCell ref="C3:E3"/>
    <mergeCell ref="F3:H3"/>
    <mergeCell ref="I3:K3"/>
    <mergeCell ref="L3:N3"/>
    <mergeCell ref="O3:Q3"/>
    <mergeCell ref="B17:T17"/>
    <mergeCell ref="B15:T15"/>
    <mergeCell ref="B18:T18"/>
    <mergeCell ref="B19:T19"/>
    <mergeCell ref="B14:T14"/>
  </mergeCells>
  <pageMargins left="0.25" right="0.25" top="0.75" bottom="0.5" header="0.3" footer="0.3"/>
  <pageSetup paperSize="9"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1219-5C41-4F9D-B60E-6BAF82C361CF}">
  <sheetPr>
    <pageSetUpPr fitToPage="1"/>
  </sheetPr>
  <dimension ref="A1:N24"/>
  <sheetViews>
    <sheetView topLeftCell="B1" zoomScale="70" zoomScaleNormal="70" workbookViewId="0">
      <pane xSplit="1" ySplit="3" topLeftCell="C4" activePane="bottomRight" state="frozen"/>
      <selection activeCell="B1" sqref="B1"/>
      <selection pane="topRight" activeCell="C1" sqref="C1"/>
      <selection pane="bottomLeft" activeCell="B4" sqref="B4"/>
      <selection pane="bottomRight" activeCell="C31" sqref="C31"/>
    </sheetView>
  </sheetViews>
  <sheetFormatPr defaultColWidth="9.109375" defaultRowHeight="15.6" x14ac:dyDescent="0.3"/>
  <cols>
    <col min="1" max="1" width="6.33203125" style="119" customWidth="1"/>
    <col min="2" max="2" width="43.33203125" style="119" customWidth="1"/>
    <col min="3" max="12" width="12.109375" style="119" customWidth="1"/>
    <col min="13" max="13" width="12.109375" style="618" customWidth="1"/>
    <col min="14" max="14" width="13.109375" style="119" customWidth="1"/>
    <col min="15" max="16384" width="9.109375" style="119"/>
  </cols>
  <sheetData>
    <row r="1" spans="1:14" x14ac:dyDescent="0.3">
      <c r="A1" s="628" t="s">
        <v>600</v>
      </c>
      <c r="B1" s="628"/>
      <c r="C1" s="628"/>
      <c r="D1" s="628"/>
      <c r="E1" s="628"/>
      <c r="F1" s="628"/>
      <c r="G1" s="628"/>
      <c r="H1" s="628"/>
      <c r="I1" s="628"/>
      <c r="J1" s="628"/>
      <c r="K1" s="628"/>
      <c r="L1" s="628"/>
      <c r="M1" s="628"/>
      <c r="N1" s="628"/>
    </row>
    <row r="2" spans="1:14" x14ac:dyDescent="0.3">
      <c r="A2" s="629" t="s">
        <v>20</v>
      </c>
      <c r="B2" s="629" t="s">
        <v>601</v>
      </c>
      <c r="C2" s="631" t="s">
        <v>652</v>
      </c>
      <c r="D2" s="459"/>
      <c r="E2" s="632" t="s">
        <v>602</v>
      </c>
      <c r="F2" s="632"/>
      <c r="G2" s="633"/>
      <c r="H2" s="631" t="s">
        <v>603</v>
      </c>
      <c r="I2" s="631"/>
      <c r="J2" s="631"/>
      <c r="K2" s="631"/>
      <c r="L2" s="631"/>
      <c r="M2" s="631"/>
      <c r="N2" s="629" t="s">
        <v>604</v>
      </c>
    </row>
    <row r="3" spans="1:14" x14ac:dyDescent="0.3">
      <c r="A3" s="630"/>
      <c r="B3" s="630"/>
      <c r="C3" s="631"/>
      <c r="D3" s="227" t="s">
        <v>653</v>
      </c>
      <c r="E3" s="227" t="s">
        <v>605</v>
      </c>
      <c r="F3" s="226" t="s">
        <v>606</v>
      </c>
      <c r="G3" s="226" t="s">
        <v>25</v>
      </c>
      <c r="H3" s="228" t="s">
        <v>4</v>
      </c>
      <c r="I3" s="228" t="s">
        <v>6</v>
      </c>
      <c r="J3" s="228" t="s">
        <v>7</v>
      </c>
      <c r="K3" s="228" t="s">
        <v>8</v>
      </c>
      <c r="L3" s="228" t="s">
        <v>9</v>
      </c>
      <c r="M3" s="616" t="s">
        <v>533</v>
      </c>
      <c r="N3" s="630"/>
    </row>
    <row r="4" spans="1:14" s="231" customFormat="1" x14ac:dyDescent="0.3">
      <c r="A4" s="226"/>
      <c r="B4" s="229" t="s">
        <v>10</v>
      </c>
      <c r="C4" s="230">
        <f>C5+C6</f>
        <v>10445</v>
      </c>
      <c r="D4" s="230">
        <v>12</v>
      </c>
      <c r="E4" s="230">
        <f t="shared" ref="E4:L4" si="0">E5+E6</f>
        <v>244</v>
      </c>
      <c r="F4" s="230">
        <f t="shared" si="0"/>
        <v>1039</v>
      </c>
      <c r="G4" s="230">
        <f t="shared" si="0"/>
        <v>824</v>
      </c>
      <c r="H4" s="230">
        <f t="shared" si="0"/>
        <v>1835</v>
      </c>
      <c r="I4" s="230">
        <f t="shared" si="0"/>
        <v>1718</v>
      </c>
      <c r="J4" s="230">
        <f t="shared" si="0"/>
        <v>1609</v>
      </c>
      <c r="K4" s="230">
        <f t="shared" si="0"/>
        <v>1601</v>
      </c>
      <c r="L4" s="230">
        <f t="shared" si="0"/>
        <v>1563</v>
      </c>
      <c r="M4" s="617">
        <f>SUM(H4:L4)</f>
        <v>8326</v>
      </c>
      <c r="N4" s="229"/>
    </row>
    <row r="5" spans="1:14" s="235" customFormat="1" x14ac:dyDescent="0.3">
      <c r="A5" s="232"/>
      <c r="B5" s="233" t="s">
        <v>607</v>
      </c>
      <c r="C5" s="234">
        <f>SUM(D5:L5)</f>
        <v>1868</v>
      </c>
      <c r="D5" s="234">
        <v>0</v>
      </c>
      <c r="E5" s="234">
        <f>'[2]Đao tao dự kien'!E4</f>
        <v>93</v>
      </c>
      <c r="F5" s="234">
        <f>'[2]Đao tao dự kien'!F4</f>
        <v>121</v>
      </c>
      <c r="G5" s="234">
        <f>'[2]Đao tao dự kien'!G4</f>
        <v>44</v>
      </c>
      <c r="H5" s="234">
        <f>'[2]Đao tao dự kien'!H4</f>
        <v>329</v>
      </c>
      <c r="I5" s="234">
        <f>'[2]Đao tao dự kien'!I4</f>
        <v>328</v>
      </c>
      <c r="J5" s="234">
        <f>'[2]Đao tao dự kien'!J4</f>
        <v>314</v>
      </c>
      <c r="K5" s="234">
        <f>'[2]Đao tao dự kien'!K4</f>
        <v>324</v>
      </c>
      <c r="L5" s="234">
        <f>'[2]Đao tao dự kien'!L4</f>
        <v>315</v>
      </c>
      <c r="M5" s="239">
        <f t="shared" ref="M5:M24" si="1">SUM(H5:L5)</f>
        <v>1610</v>
      </c>
      <c r="N5" s="233"/>
    </row>
    <row r="6" spans="1:14" x14ac:dyDescent="0.3">
      <c r="A6" s="112"/>
      <c r="B6" s="233" t="s">
        <v>608</v>
      </c>
      <c r="C6" s="234">
        <f>SUM(D6:L6)</f>
        <v>8577</v>
      </c>
      <c r="D6" s="234">
        <v>12</v>
      </c>
      <c r="E6" s="234">
        <f>'[2]Đao tao dự kien'!E5</f>
        <v>151</v>
      </c>
      <c r="F6" s="234">
        <f>'[2]Đao tao dự kien'!F5</f>
        <v>918</v>
      </c>
      <c r="G6" s="234">
        <f>'[2]Đao tao dự kien'!G5</f>
        <v>780</v>
      </c>
      <c r="H6" s="234">
        <f>'[2]Đao tao dự kien'!H5</f>
        <v>1506</v>
      </c>
      <c r="I6" s="234">
        <f>'[2]Đao tao dự kien'!I5</f>
        <v>1390</v>
      </c>
      <c r="J6" s="234">
        <f>'[2]Đao tao dự kien'!J5</f>
        <v>1295</v>
      </c>
      <c r="K6" s="234">
        <f>'[2]Đao tao dự kien'!K5</f>
        <v>1277</v>
      </c>
      <c r="L6" s="234">
        <f>'[2]Đao tao dự kien'!L5</f>
        <v>1248</v>
      </c>
      <c r="M6" s="239">
        <f t="shared" si="1"/>
        <v>6716</v>
      </c>
      <c r="N6" s="236"/>
    </row>
    <row r="7" spans="1:14" s="231" customFormat="1" x14ac:dyDescent="0.3">
      <c r="A7" s="226">
        <v>1</v>
      </c>
      <c r="B7" s="229" t="s">
        <v>29</v>
      </c>
      <c r="C7" s="230">
        <f t="shared" ref="C7:C18" si="2">SUM(E7:L7)</f>
        <v>81</v>
      </c>
      <c r="D7" s="230">
        <v>0</v>
      </c>
      <c r="E7" s="230">
        <f>'[2]Đao tao dự kien'!E6</f>
        <v>1</v>
      </c>
      <c r="F7" s="230">
        <f>'[2]Đao tao dự kien'!F6</f>
        <v>1</v>
      </c>
      <c r="G7" s="230">
        <f>'[2]Đao tao dự kien'!G6</f>
        <v>0</v>
      </c>
      <c r="H7" s="230">
        <f>'[2]Đao tao dự kien'!H6</f>
        <v>17</v>
      </c>
      <c r="I7" s="230">
        <f>'[2]Đao tao dự kien'!I6</f>
        <v>18</v>
      </c>
      <c r="J7" s="230">
        <f>'[2]Đao tao dự kien'!J6</f>
        <v>13</v>
      </c>
      <c r="K7" s="230">
        <f>'[2]Đao tao dự kien'!K6</f>
        <v>16</v>
      </c>
      <c r="L7" s="230">
        <f>'[2]Đao tao dự kien'!L6</f>
        <v>15</v>
      </c>
      <c r="M7" s="617">
        <f t="shared" si="1"/>
        <v>79</v>
      </c>
      <c r="N7" s="229"/>
    </row>
    <row r="8" spans="1:14" s="235" customFormat="1" x14ac:dyDescent="0.3">
      <c r="A8" s="232"/>
      <c r="B8" s="233" t="s">
        <v>607</v>
      </c>
      <c r="C8" s="234">
        <f t="shared" si="2"/>
        <v>78</v>
      </c>
      <c r="D8" s="234">
        <v>0</v>
      </c>
      <c r="E8" s="234">
        <f>'[2]Đao tao dự kien'!E7</f>
        <v>1</v>
      </c>
      <c r="F8" s="234">
        <f>'[2]Đao tao dự kien'!F7</f>
        <v>1</v>
      </c>
      <c r="G8" s="234">
        <f>'[2]Đao tao dự kien'!G7</f>
        <v>0</v>
      </c>
      <c r="H8" s="234">
        <f>'[2]Đao tao dự kien'!H7</f>
        <v>16</v>
      </c>
      <c r="I8" s="234">
        <f>'[2]Đao tao dự kien'!I7</f>
        <v>17</v>
      </c>
      <c r="J8" s="234">
        <f>'[2]Đao tao dự kien'!J7</f>
        <v>13</v>
      </c>
      <c r="K8" s="234">
        <f>'[2]Đao tao dự kien'!K7</f>
        <v>15</v>
      </c>
      <c r="L8" s="234">
        <f>'[2]Đao tao dự kien'!L7</f>
        <v>15</v>
      </c>
      <c r="M8" s="239">
        <f t="shared" si="1"/>
        <v>76</v>
      </c>
      <c r="N8" s="233"/>
    </row>
    <row r="9" spans="1:14" s="240" customFormat="1" x14ac:dyDescent="0.3">
      <c r="A9" s="237"/>
      <c r="B9" s="238" t="s">
        <v>608</v>
      </c>
      <c r="C9" s="239">
        <f t="shared" si="2"/>
        <v>3</v>
      </c>
      <c r="D9" s="239">
        <v>0</v>
      </c>
      <c r="E9" s="239">
        <f>'[2]Đao tao dự kien'!E8</f>
        <v>0</v>
      </c>
      <c r="F9" s="239">
        <f>'[2]Đao tao dự kien'!F8</f>
        <v>0</v>
      </c>
      <c r="G9" s="239">
        <f>'[2]Đao tao dự kien'!G8</f>
        <v>0</v>
      </c>
      <c r="H9" s="239">
        <f>'[2]Đao tao dự kien'!H8</f>
        <v>1</v>
      </c>
      <c r="I9" s="239">
        <f>'[2]Đao tao dự kien'!I8</f>
        <v>1</v>
      </c>
      <c r="J9" s="239">
        <f>'[2]Đao tao dự kien'!J8</f>
        <v>0</v>
      </c>
      <c r="K9" s="239">
        <f>'[2]Đao tao dự kien'!K8</f>
        <v>1</v>
      </c>
      <c r="L9" s="239">
        <f>'[2]Đao tao dự kien'!L8</f>
        <v>0</v>
      </c>
      <c r="M9" s="239">
        <f t="shared" si="1"/>
        <v>3</v>
      </c>
      <c r="N9" s="238"/>
    </row>
    <row r="10" spans="1:14" s="231" customFormat="1" x14ac:dyDescent="0.3">
      <c r="A10" s="226">
        <v>2</v>
      </c>
      <c r="B10" s="229" t="s">
        <v>30</v>
      </c>
      <c r="C10" s="230">
        <f t="shared" si="2"/>
        <v>837</v>
      </c>
      <c r="D10" s="230">
        <v>0</v>
      </c>
      <c r="E10" s="230">
        <f>'[2]Đao tao dự kien'!E9</f>
        <v>23</v>
      </c>
      <c r="F10" s="230">
        <f>'[2]Đao tao dự kien'!F9</f>
        <v>34</v>
      </c>
      <c r="G10" s="230">
        <f>'[2]Đao tao dự kien'!G9</f>
        <v>21</v>
      </c>
      <c r="H10" s="230">
        <f>'[2]Đao tao dự kien'!H9</f>
        <v>160</v>
      </c>
      <c r="I10" s="230">
        <f>'[2]Đao tao dự kien'!I9</f>
        <v>155</v>
      </c>
      <c r="J10" s="230">
        <f>'[2]Đao tao dự kien'!J9</f>
        <v>154</v>
      </c>
      <c r="K10" s="230">
        <f>'[2]Đao tao dự kien'!K9</f>
        <v>149</v>
      </c>
      <c r="L10" s="230">
        <f>'[2]Đao tao dự kien'!L9</f>
        <v>141</v>
      </c>
      <c r="M10" s="617">
        <f t="shared" si="1"/>
        <v>759</v>
      </c>
      <c r="N10" s="229"/>
    </row>
    <row r="11" spans="1:14" s="235" customFormat="1" x14ac:dyDescent="0.3">
      <c r="A11" s="232"/>
      <c r="B11" s="233" t="s">
        <v>607</v>
      </c>
      <c r="C11" s="234">
        <f t="shared" si="2"/>
        <v>652</v>
      </c>
      <c r="D11" s="234">
        <v>0</v>
      </c>
      <c r="E11" s="234">
        <f>'[2]Đao tao dự kien'!E10</f>
        <v>12</v>
      </c>
      <c r="F11" s="234">
        <f>'[2]Đao tao dự kien'!F10</f>
        <v>26</v>
      </c>
      <c r="G11" s="234">
        <f>'[2]Đao tao dự kien'!G10</f>
        <v>9</v>
      </c>
      <c r="H11" s="234">
        <f>'[2]Đao tao dự kien'!H10</f>
        <v>115</v>
      </c>
      <c r="I11" s="234">
        <f>'[2]Đao tao dự kien'!I10</f>
        <v>123</v>
      </c>
      <c r="J11" s="234">
        <f>'[2]Đao tao dự kien'!J10</f>
        <v>122</v>
      </c>
      <c r="K11" s="234">
        <f>'[2]Đao tao dự kien'!K10</f>
        <v>125</v>
      </c>
      <c r="L11" s="234">
        <f>'[2]Đao tao dự kien'!L10</f>
        <v>120</v>
      </c>
      <c r="M11" s="239">
        <f t="shared" si="1"/>
        <v>605</v>
      </c>
      <c r="N11" s="233"/>
    </row>
    <row r="12" spans="1:14" s="240" customFormat="1" x14ac:dyDescent="0.3">
      <c r="A12" s="237"/>
      <c r="B12" s="238" t="s">
        <v>608</v>
      </c>
      <c r="C12" s="239">
        <f t="shared" si="2"/>
        <v>185</v>
      </c>
      <c r="D12" s="239">
        <v>0</v>
      </c>
      <c r="E12" s="239">
        <f>'[2]Đao tao dự kien'!E11</f>
        <v>11</v>
      </c>
      <c r="F12" s="239">
        <f>'[2]Đao tao dự kien'!F11</f>
        <v>8</v>
      </c>
      <c r="G12" s="239">
        <f>'[2]Đao tao dự kien'!G11</f>
        <v>12</v>
      </c>
      <c r="H12" s="239">
        <f>'[2]Đao tao dự kien'!H11</f>
        <v>45</v>
      </c>
      <c r="I12" s="239">
        <f>'[2]Đao tao dự kien'!I11</f>
        <v>32</v>
      </c>
      <c r="J12" s="239">
        <f>'[2]Đao tao dự kien'!J11</f>
        <v>32</v>
      </c>
      <c r="K12" s="239">
        <f>'[2]Đao tao dự kien'!K11</f>
        <v>24</v>
      </c>
      <c r="L12" s="239">
        <f>'[2]Đao tao dự kien'!L11</f>
        <v>21</v>
      </c>
      <c r="M12" s="239">
        <f t="shared" si="1"/>
        <v>154</v>
      </c>
      <c r="N12" s="238"/>
    </row>
    <row r="13" spans="1:14" s="231" customFormat="1" x14ac:dyDescent="0.3">
      <c r="A13" s="226">
        <v>3</v>
      </c>
      <c r="B13" s="229" t="s">
        <v>31</v>
      </c>
      <c r="C13" s="230">
        <f t="shared" si="2"/>
        <v>82</v>
      </c>
      <c r="D13" s="230">
        <v>0</v>
      </c>
      <c r="E13" s="230">
        <f>'[2]Đao tao dự kien'!E12</f>
        <v>9</v>
      </c>
      <c r="F13" s="230">
        <f>'[2]Đao tao dự kien'!F12</f>
        <v>10</v>
      </c>
      <c r="G13" s="230">
        <f>'[2]Đao tao dự kien'!G12</f>
        <v>5</v>
      </c>
      <c r="H13" s="230">
        <f>'[2]Đao tao dự kien'!H12</f>
        <v>15</v>
      </c>
      <c r="I13" s="230">
        <f>'[2]Đao tao dự kien'!I12</f>
        <v>14</v>
      </c>
      <c r="J13" s="230">
        <f>'[2]Đao tao dự kien'!J12</f>
        <v>9</v>
      </c>
      <c r="K13" s="230">
        <f>'[2]Đao tao dự kien'!K12</f>
        <v>10</v>
      </c>
      <c r="L13" s="230">
        <f>'[2]Đao tao dự kien'!L12</f>
        <v>10</v>
      </c>
      <c r="M13" s="617">
        <f t="shared" si="1"/>
        <v>58</v>
      </c>
      <c r="N13" s="229"/>
    </row>
    <row r="14" spans="1:14" s="235" customFormat="1" x14ac:dyDescent="0.3">
      <c r="A14" s="232"/>
      <c r="B14" s="233" t="s">
        <v>607</v>
      </c>
      <c r="C14" s="234">
        <f t="shared" si="2"/>
        <v>56</v>
      </c>
      <c r="D14" s="234">
        <v>0</v>
      </c>
      <c r="E14" s="234">
        <f>'[2]Đao tao dự kien'!E13</f>
        <v>4</v>
      </c>
      <c r="F14" s="234">
        <f>'[2]Đao tao dự kien'!F13</f>
        <v>6</v>
      </c>
      <c r="G14" s="234">
        <f>'[2]Đao tao dự kien'!G13</f>
        <v>1</v>
      </c>
      <c r="H14" s="234">
        <f>'[2]Đao tao dự kien'!H13</f>
        <v>13</v>
      </c>
      <c r="I14" s="234">
        <f>'[2]Đao tao dự kien'!I13</f>
        <v>11</v>
      </c>
      <c r="J14" s="234">
        <f>'[2]Đao tao dự kien'!J13</f>
        <v>7</v>
      </c>
      <c r="K14" s="234">
        <f>'[2]Đao tao dự kien'!K13</f>
        <v>7</v>
      </c>
      <c r="L14" s="234">
        <f>'[2]Đao tao dự kien'!L13</f>
        <v>7</v>
      </c>
      <c r="M14" s="239">
        <f t="shared" si="1"/>
        <v>45</v>
      </c>
      <c r="N14" s="233"/>
    </row>
    <row r="15" spans="1:14" s="240" customFormat="1" x14ac:dyDescent="0.3">
      <c r="A15" s="237"/>
      <c r="B15" s="238" t="s">
        <v>608</v>
      </c>
      <c r="C15" s="239">
        <f t="shared" si="2"/>
        <v>26</v>
      </c>
      <c r="D15" s="239">
        <v>0</v>
      </c>
      <c r="E15" s="239">
        <f>'[2]Đao tao dự kien'!E14</f>
        <v>5</v>
      </c>
      <c r="F15" s="239">
        <f>'[2]Đao tao dự kien'!F14</f>
        <v>4</v>
      </c>
      <c r="G15" s="239">
        <f>'[2]Đao tao dự kien'!G14</f>
        <v>4</v>
      </c>
      <c r="H15" s="239">
        <f>'[2]Đao tao dự kien'!H14</f>
        <v>2</v>
      </c>
      <c r="I15" s="239">
        <f>'[2]Đao tao dự kien'!I14</f>
        <v>3</v>
      </c>
      <c r="J15" s="239">
        <f>'[2]Đao tao dự kien'!J14</f>
        <v>2</v>
      </c>
      <c r="K15" s="239">
        <f>'[2]Đao tao dự kien'!K14</f>
        <v>3</v>
      </c>
      <c r="L15" s="239">
        <f>'[2]Đao tao dự kien'!L14</f>
        <v>3</v>
      </c>
      <c r="M15" s="239">
        <f t="shared" si="1"/>
        <v>13</v>
      </c>
      <c r="N15" s="238"/>
    </row>
    <row r="16" spans="1:14" s="231" customFormat="1" x14ac:dyDescent="0.3">
      <c r="A16" s="226">
        <v>4</v>
      </c>
      <c r="B16" s="229" t="s">
        <v>32</v>
      </c>
      <c r="C16" s="230">
        <f t="shared" si="2"/>
        <v>2159</v>
      </c>
      <c r="D16" s="230">
        <v>0</v>
      </c>
      <c r="E16" s="230">
        <f>'[2]Đao tao dự kien'!E15</f>
        <v>184</v>
      </c>
      <c r="F16" s="230">
        <f>'[2]Đao tao dự kien'!F15</f>
        <v>184</v>
      </c>
      <c r="G16" s="230">
        <f>'[2]Đao tao dự kien'!G15</f>
        <v>118</v>
      </c>
      <c r="H16" s="230">
        <f>'[2]Đao tao dự kien'!H15</f>
        <v>429</v>
      </c>
      <c r="I16" s="230">
        <f>'[2]Đao tao dự kien'!I15</f>
        <v>353</v>
      </c>
      <c r="J16" s="230">
        <f>'[2]Đao tao dự kien'!J15</f>
        <v>321</v>
      </c>
      <c r="K16" s="230">
        <f>'[2]Đao tao dự kien'!K15</f>
        <v>295</v>
      </c>
      <c r="L16" s="230">
        <f>'[2]Đao tao dự kien'!L15</f>
        <v>275</v>
      </c>
      <c r="M16" s="617">
        <f t="shared" si="1"/>
        <v>1673</v>
      </c>
      <c r="N16" s="229"/>
    </row>
    <row r="17" spans="1:14" s="235" customFormat="1" x14ac:dyDescent="0.3">
      <c r="A17" s="232"/>
      <c r="B17" s="233" t="s">
        <v>607</v>
      </c>
      <c r="C17" s="234">
        <f t="shared" si="2"/>
        <v>1044</v>
      </c>
      <c r="D17" s="234">
        <v>0</v>
      </c>
      <c r="E17" s="234">
        <f>'[2]Đao tao dự kien'!E16</f>
        <v>76</v>
      </c>
      <c r="F17" s="234">
        <f>'[2]Đao tao dự kien'!F16</f>
        <v>87</v>
      </c>
      <c r="G17" s="234">
        <f>'[2]Đao tao dự kien'!G16</f>
        <v>34</v>
      </c>
      <c r="H17" s="234">
        <f>'[2]Đao tao dự kien'!H16</f>
        <v>178</v>
      </c>
      <c r="I17" s="234">
        <f>'[2]Đao tao dự kien'!I16</f>
        <v>168</v>
      </c>
      <c r="J17" s="234">
        <f>'[2]Đao tao dự kien'!J16</f>
        <v>166</v>
      </c>
      <c r="K17" s="234">
        <f>'[2]Đao tao dự kien'!K16</f>
        <v>169</v>
      </c>
      <c r="L17" s="234">
        <f>'[2]Đao tao dự kien'!L16</f>
        <v>166</v>
      </c>
      <c r="M17" s="239">
        <f t="shared" si="1"/>
        <v>847</v>
      </c>
      <c r="N17" s="233"/>
    </row>
    <row r="18" spans="1:14" s="240" customFormat="1" x14ac:dyDescent="0.3">
      <c r="A18" s="237"/>
      <c r="B18" s="238" t="s">
        <v>608</v>
      </c>
      <c r="C18" s="239">
        <f t="shared" si="2"/>
        <v>1115</v>
      </c>
      <c r="D18" s="239">
        <v>0</v>
      </c>
      <c r="E18" s="239">
        <f>'[2]Đao tao dự kien'!E17</f>
        <v>108</v>
      </c>
      <c r="F18" s="239">
        <f>'[2]Đao tao dự kien'!F17</f>
        <v>97</v>
      </c>
      <c r="G18" s="239">
        <f>'[2]Đao tao dự kien'!G17</f>
        <v>84</v>
      </c>
      <c r="H18" s="239">
        <f>'[2]Đao tao dự kien'!H17</f>
        <v>251</v>
      </c>
      <c r="I18" s="239">
        <f>'[2]Đao tao dự kien'!I17</f>
        <v>185</v>
      </c>
      <c r="J18" s="239">
        <f>'[2]Đao tao dự kien'!J17</f>
        <v>155</v>
      </c>
      <c r="K18" s="239">
        <f>'[2]Đao tao dự kien'!K17</f>
        <v>126</v>
      </c>
      <c r="L18" s="239">
        <f>'[2]Đao tao dự kien'!L17</f>
        <v>109</v>
      </c>
      <c r="M18" s="239">
        <f t="shared" si="1"/>
        <v>826</v>
      </c>
      <c r="N18" s="238"/>
    </row>
    <row r="19" spans="1:14" ht="31.2" x14ac:dyDescent="0.3">
      <c r="A19" s="112">
        <v>5</v>
      </c>
      <c r="B19" s="229" t="s">
        <v>33</v>
      </c>
      <c r="C19" s="230">
        <f>SUM(D19:L19)</f>
        <v>375</v>
      </c>
      <c r="D19" s="230">
        <v>12</v>
      </c>
      <c r="E19" s="230">
        <f>'[2]Đao tao dự kien'!E18</f>
        <v>27</v>
      </c>
      <c r="F19" s="230">
        <f>'[2]Đao tao dự kien'!F18</f>
        <v>22</v>
      </c>
      <c r="G19" s="230">
        <f>'[2]Đao tao dự kien'!G18</f>
        <v>17</v>
      </c>
      <c r="H19" s="230">
        <f>'[2]Đao tao dự kien'!H18</f>
        <v>78</v>
      </c>
      <c r="I19" s="230">
        <f>'[2]Đao tao dự kien'!I18</f>
        <v>62</v>
      </c>
      <c r="J19" s="230">
        <f>'[2]Đao tao dự kien'!J18</f>
        <v>56</v>
      </c>
      <c r="K19" s="230">
        <f>'[2]Đao tao dự kien'!K18</f>
        <v>51</v>
      </c>
      <c r="L19" s="230">
        <f>'[2]Đao tao dự kien'!L18</f>
        <v>50</v>
      </c>
      <c r="M19" s="617">
        <f t="shared" si="1"/>
        <v>297</v>
      </c>
      <c r="N19" s="226"/>
    </row>
    <row r="20" spans="1:14" s="235" customFormat="1" x14ac:dyDescent="0.3">
      <c r="A20" s="232"/>
      <c r="B20" s="233" t="s">
        <v>607</v>
      </c>
      <c r="C20" s="234">
        <f>SUM(E20:L20)</f>
        <v>0</v>
      </c>
      <c r="D20" s="234">
        <v>0</v>
      </c>
      <c r="E20" s="234">
        <f>'[2]Đao tao dự kien'!E19</f>
        <v>0</v>
      </c>
      <c r="F20" s="234">
        <f>'[2]Đao tao dự kien'!F19</f>
        <v>0</v>
      </c>
      <c r="G20" s="234">
        <f>'[2]Đao tao dự kien'!G19</f>
        <v>0</v>
      </c>
      <c r="H20" s="234">
        <f>'[2]Đao tao dự kien'!H19</f>
        <v>0</v>
      </c>
      <c r="I20" s="234">
        <f>'[2]Đao tao dự kien'!I19</f>
        <v>0</v>
      </c>
      <c r="J20" s="234">
        <f>'[2]Đao tao dự kien'!J19</f>
        <v>0</v>
      </c>
      <c r="K20" s="234">
        <f>'[2]Đao tao dự kien'!K19</f>
        <v>0</v>
      </c>
      <c r="L20" s="234">
        <f>'[2]Đao tao dự kien'!L19</f>
        <v>0</v>
      </c>
      <c r="M20" s="239">
        <f t="shared" si="1"/>
        <v>0</v>
      </c>
      <c r="N20" s="233"/>
    </row>
    <row r="21" spans="1:14" s="240" customFormat="1" x14ac:dyDescent="0.3">
      <c r="A21" s="237"/>
      <c r="B21" s="238" t="s">
        <v>608</v>
      </c>
      <c r="C21" s="239">
        <f>SUM(E21:L21)</f>
        <v>363</v>
      </c>
      <c r="D21" s="239">
        <v>12</v>
      </c>
      <c r="E21" s="239">
        <f>'[2]Đao tao dự kien'!E20</f>
        <v>27</v>
      </c>
      <c r="F21" s="239">
        <f>'[2]Đao tao dự kien'!F20</f>
        <v>22</v>
      </c>
      <c r="G21" s="239">
        <f>'[2]Đao tao dự kien'!G20</f>
        <v>17</v>
      </c>
      <c r="H21" s="239">
        <f>'[2]Đao tao dự kien'!H20</f>
        <v>78</v>
      </c>
      <c r="I21" s="239">
        <f>'[2]Đao tao dự kien'!I20</f>
        <v>62</v>
      </c>
      <c r="J21" s="239">
        <f>'[2]Đao tao dự kien'!J20</f>
        <v>56</v>
      </c>
      <c r="K21" s="239">
        <f>'[2]Đao tao dự kien'!K20</f>
        <v>51</v>
      </c>
      <c r="L21" s="239">
        <f>'[2]Đao tao dự kien'!L20</f>
        <v>50</v>
      </c>
      <c r="M21" s="239">
        <f t="shared" si="1"/>
        <v>297</v>
      </c>
      <c r="N21" s="238"/>
    </row>
    <row r="22" spans="1:14" ht="62.4" x14ac:dyDescent="0.3">
      <c r="A22" s="112">
        <v>6</v>
      </c>
      <c r="B22" s="229" t="s">
        <v>609</v>
      </c>
      <c r="C22" s="230">
        <f>SUM(E22:L22)</f>
        <v>6911</v>
      </c>
      <c r="D22" s="230"/>
      <c r="E22" s="230"/>
      <c r="F22" s="230">
        <f>'[2]Đao tao dự kien'!F21</f>
        <v>788</v>
      </c>
      <c r="G22" s="230">
        <f>'[2]Đao tao dự kien'!G21</f>
        <v>663</v>
      </c>
      <c r="H22" s="230">
        <f>'[2]Đao tao dự kien'!H21</f>
        <v>1136</v>
      </c>
      <c r="I22" s="230">
        <f>'[2]Đao tao dự kien'!I21</f>
        <v>1116</v>
      </c>
      <c r="J22" s="230">
        <f>'[2]Đao tao dự kien'!J21</f>
        <v>1056</v>
      </c>
      <c r="K22" s="230">
        <f>'[2]Đao tao dự kien'!K21</f>
        <v>1080</v>
      </c>
      <c r="L22" s="230">
        <f>'[2]Đao tao dự kien'!L21</f>
        <v>1072</v>
      </c>
      <c r="M22" s="617">
        <f t="shared" si="1"/>
        <v>5460</v>
      </c>
      <c r="N22" s="226"/>
    </row>
    <row r="23" spans="1:14" s="235" customFormat="1" x14ac:dyDescent="0.3">
      <c r="A23" s="232"/>
      <c r="B23" s="233" t="s">
        <v>607</v>
      </c>
      <c r="C23" s="234">
        <f>SUM(E23:L23)</f>
        <v>38</v>
      </c>
      <c r="D23" s="234"/>
      <c r="E23" s="234"/>
      <c r="F23" s="234">
        <f>'[2]Đao tao dự kien'!F22</f>
        <v>1</v>
      </c>
      <c r="G23" s="234">
        <f>'[2]Đao tao dự kien'!G22</f>
        <v>0</v>
      </c>
      <c r="H23" s="234">
        <f>'[2]Đao tao dự kien'!H22</f>
        <v>7</v>
      </c>
      <c r="I23" s="234">
        <f>'[2]Đao tao dự kien'!I22</f>
        <v>9</v>
      </c>
      <c r="J23" s="234">
        <f>'[2]Đao tao dự kien'!J22</f>
        <v>6</v>
      </c>
      <c r="K23" s="234">
        <f>'[2]Đao tao dự kien'!K22</f>
        <v>8</v>
      </c>
      <c r="L23" s="234">
        <f>'[2]Đao tao dự kien'!L22</f>
        <v>7</v>
      </c>
      <c r="M23" s="239">
        <f t="shared" si="1"/>
        <v>37</v>
      </c>
      <c r="N23" s="233"/>
    </row>
    <row r="24" spans="1:14" s="240" customFormat="1" x14ac:dyDescent="0.3">
      <c r="A24" s="237"/>
      <c r="B24" s="238" t="s">
        <v>608</v>
      </c>
      <c r="C24" s="239">
        <f>SUM(E24:L24)</f>
        <v>6873</v>
      </c>
      <c r="D24" s="239"/>
      <c r="E24" s="239"/>
      <c r="F24" s="239">
        <f>'[2]Đao tao dự kien'!F23</f>
        <v>787</v>
      </c>
      <c r="G24" s="239">
        <f>'[2]Đao tao dự kien'!G23</f>
        <v>663</v>
      </c>
      <c r="H24" s="239">
        <f>'[2]Đao tao dự kien'!H23</f>
        <v>1129</v>
      </c>
      <c r="I24" s="239">
        <f>'[2]Đao tao dự kien'!I23</f>
        <v>1107</v>
      </c>
      <c r="J24" s="239">
        <f>'[2]Đao tao dự kien'!J23</f>
        <v>1050</v>
      </c>
      <c r="K24" s="239">
        <f>'[2]Đao tao dự kien'!K23</f>
        <v>1072</v>
      </c>
      <c r="L24" s="239">
        <f>'[2]Đao tao dự kien'!L23</f>
        <v>1065</v>
      </c>
      <c r="M24" s="239">
        <f t="shared" si="1"/>
        <v>5423</v>
      </c>
      <c r="N24" s="238"/>
    </row>
  </sheetData>
  <mergeCells count="7">
    <mergeCell ref="A1:N1"/>
    <mergeCell ref="A2:A3"/>
    <mergeCell ref="B2:B3"/>
    <mergeCell ref="C2:C3"/>
    <mergeCell ref="E2:G2"/>
    <mergeCell ref="H2:M2"/>
    <mergeCell ref="N2:N3"/>
  </mergeCells>
  <pageMargins left="0.7" right="0.2"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49BE-37F0-425C-BD67-846AE0860FD1}">
  <sheetPr>
    <tabColor rgb="FFFF0000"/>
    <pageSetUpPr fitToPage="1"/>
  </sheetPr>
  <dimension ref="A1:BE210"/>
  <sheetViews>
    <sheetView topLeftCell="A3" zoomScaleNormal="100" workbookViewId="0">
      <pane xSplit="4" ySplit="3" topLeftCell="E21" activePane="bottomRight" state="frozen"/>
      <selection activeCell="A3" sqref="A3"/>
      <selection pane="topRight" activeCell="E3" sqref="E3"/>
      <selection pane="bottomLeft" activeCell="A6" sqref="A6"/>
      <selection pane="bottomRight" activeCell="BQ7" sqref="BQ7"/>
    </sheetView>
  </sheetViews>
  <sheetFormatPr defaultColWidth="9.109375" defaultRowHeight="13.95" customHeight="1" x14ac:dyDescent="0.3"/>
  <cols>
    <col min="1" max="1" width="5" style="251" customWidth="1"/>
    <col min="2" max="2" width="19.5546875" style="251" customWidth="1"/>
    <col min="3" max="4" width="8" style="251" customWidth="1"/>
    <col min="5" max="5" width="8.109375" style="251" customWidth="1"/>
    <col min="6" max="6" width="7.109375" style="568" hidden="1" customWidth="1"/>
    <col min="7" max="8" width="8.6640625" style="251" customWidth="1"/>
    <col min="9" max="9" width="8.109375" style="569" customWidth="1"/>
    <col min="10" max="10" width="8.109375" style="570" hidden="1" customWidth="1"/>
    <col min="11" max="12" width="8.109375" style="251" customWidth="1"/>
    <col min="13" max="13" width="8.109375" style="569" customWidth="1"/>
    <col min="14" max="14" width="8.109375" style="570" hidden="1" customWidth="1"/>
    <col min="15" max="16" width="8.109375" style="251" customWidth="1"/>
    <col min="17" max="17" width="8.109375" style="569" customWidth="1"/>
    <col min="18" max="18" width="8.109375" style="570" hidden="1" customWidth="1"/>
    <col min="19" max="20" width="8.109375" style="251" customWidth="1"/>
    <col min="21" max="21" width="8.109375" style="569" customWidth="1"/>
    <col min="22" max="22" width="8.109375" style="570" hidden="1" customWidth="1"/>
    <col min="23" max="24" width="8.109375" style="251" customWidth="1"/>
    <col min="25" max="25" width="8.109375" style="569" customWidth="1"/>
    <col min="26" max="26" width="8.109375" style="570" hidden="1" customWidth="1"/>
    <col min="27" max="28" width="8.109375" style="251" customWidth="1"/>
    <col min="29" max="29" width="8.109375" style="569" customWidth="1"/>
    <col min="30" max="30" width="8.109375" style="570" hidden="1" customWidth="1"/>
    <col min="31" max="34" width="8.109375" style="251" customWidth="1"/>
    <col min="35" max="38" width="8.88671875" style="251" customWidth="1"/>
    <col min="39" max="39" width="11.44140625" style="251" hidden="1" customWidth="1"/>
    <col min="40" max="40" width="14.44140625" style="251" hidden="1" customWidth="1"/>
    <col min="41" max="45" width="7.6640625" style="251" hidden="1" customWidth="1"/>
    <col min="46" max="47" width="6.44140625" style="251" hidden="1" customWidth="1"/>
    <col min="48" max="48" width="20.88671875" style="251" hidden="1" customWidth="1"/>
    <col min="49" max="49" width="6.44140625" style="251" hidden="1" customWidth="1"/>
    <col min="50" max="59" width="0" style="251" hidden="1" customWidth="1"/>
    <col min="60" max="16384" width="9.109375" style="251"/>
  </cols>
  <sheetData>
    <row r="1" spans="1:57" ht="13.95" customHeight="1" x14ac:dyDescent="0.3">
      <c r="A1" s="640" t="s">
        <v>627</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250"/>
    </row>
    <row r="2" spans="1:57" ht="13.95" customHeight="1" x14ac:dyDescent="0.3">
      <c r="A2" s="641" t="s">
        <v>20</v>
      </c>
      <c r="B2" s="641" t="s">
        <v>601</v>
      </c>
      <c r="C2" s="644" t="s">
        <v>654</v>
      </c>
      <c r="D2" s="644"/>
      <c r="E2" s="644" t="s">
        <v>628</v>
      </c>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464"/>
      <c r="AG2" s="464"/>
      <c r="AH2" s="464"/>
      <c r="AI2" s="645" t="s">
        <v>629</v>
      </c>
      <c r="AJ2" s="646"/>
      <c r="AK2" s="646"/>
      <c r="AL2" s="647"/>
      <c r="AM2" s="656" t="s">
        <v>630</v>
      </c>
    </row>
    <row r="3" spans="1:57" ht="39" customHeight="1" x14ac:dyDescent="0.3">
      <c r="A3" s="642"/>
      <c r="B3" s="642"/>
      <c r="C3" s="644"/>
      <c r="D3" s="644"/>
      <c r="E3" s="664" t="s">
        <v>606</v>
      </c>
      <c r="F3" s="665"/>
      <c r="G3" s="665"/>
      <c r="H3" s="666"/>
      <c r="I3" s="664" t="s">
        <v>25</v>
      </c>
      <c r="J3" s="665"/>
      <c r="K3" s="665"/>
      <c r="L3" s="666"/>
      <c r="M3" s="664" t="s">
        <v>4</v>
      </c>
      <c r="N3" s="665"/>
      <c r="O3" s="665"/>
      <c r="P3" s="666"/>
      <c r="Q3" s="664" t="s">
        <v>6</v>
      </c>
      <c r="R3" s="665"/>
      <c r="S3" s="665"/>
      <c r="T3" s="666"/>
      <c r="U3" s="664" t="s">
        <v>7</v>
      </c>
      <c r="V3" s="665"/>
      <c r="W3" s="665"/>
      <c r="X3" s="666"/>
      <c r="Y3" s="664" t="s">
        <v>8</v>
      </c>
      <c r="Z3" s="665"/>
      <c r="AA3" s="665"/>
      <c r="AB3" s="666"/>
      <c r="AC3" s="648" t="s">
        <v>9</v>
      </c>
      <c r="AD3" s="649"/>
      <c r="AE3" s="649"/>
      <c r="AF3" s="650"/>
      <c r="AG3" s="657" t="s">
        <v>657</v>
      </c>
      <c r="AH3" s="658"/>
      <c r="AI3" s="648"/>
      <c r="AJ3" s="649"/>
      <c r="AK3" s="649"/>
      <c r="AL3" s="650"/>
      <c r="AM3" s="656"/>
      <c r="AN3" s="651" t="s">
        <v>158</v>
      </c>
      <c r="AO3" s="251" t="s">
        <v>631</v>
      </c>
      <c r="BA3" s="523" t="s">
        <v>629</v>
      </c>
      <c r="BB3" s="523"/>
      <c r="BC3" s="523"/>
      <c r="BD3" s="523"/>
      <c r="BE3" s="523" t="s">
        <v>630</v>
      </c>
    </row>
    <row r="4" spans="1:57" ht="51" customHeight="1" x14ac:dyDescent="0.3">
      <c r="A4" s="643"/>
      <c r="B4" s="643"/>
      <c r="C4" s="465" t="s">
        <v>10</v>
      </c>
      <c r="D4" s="256" t="s">
        <v>26</v>
      </c>
      <c r="E4" s="256" t="s">
        <v>551</v>
      </c>
      <c r="F4" s="466" t="s">
        <v>552</v>
      </c>
      <c r="G4" s="256" t="s">
        <v>632</v>
      </c>
      <c r="H4" s="256" t="s">
        <v>655</v>
      </c>
      <c r="I4" s="256" t="s">
        <v>551</v>
      </c>
      <c r="J4" s="467" t="s">
        <v>552</v>
      </c>
      <c r="K4" s="256" t="s">
        <v>632</v>
      </c>
      <c r="L4" s="256" t="s">
        <v>655</v>
      </c>
      <c r="M4" s="256" t="s">
        <v>551</v>
      </c>
      <c r="N4" s="467" t="s">
        <v>552</v>
      </c>
      <c r="O4" s="256" t="s">
        <v>632</v>
      </c>
      <c r="P4" s="256" t="s">
        <v>655</v>
      </c>
      <c r="Q4" s="256" t="s">
        <v>551</v>
      </c>
      <c r="R4" s="467" t="s">
        <v>552</v>
      </c>
      <c r="S4" s="256" t="s">
        <v>632</v>
      </c>
      <c r="T4" s="256" t="s">
        <v>655</v>
      </c>
      <c r="U4" s="256" t="s">
        <v>551</v>
      </c>
      <c r="V4" s="467" t="s">
        <v>552</v>
      </c>
      <c r="W4" s="256" t="s">
        <v>632</v>
      </c>
      <c r="X4" s="256" t="s">
        <v>655</v>
      </c>
      <c r="Y4" s="256" t="s">
        <v>551</v>
      </c>
      <c r="Z4" s="467" t="s">
        <v>552</v>
      </c>
      <c r="AA4" s="256" t="s">
        <v>632</v>
      </c>
      <c r="AB4" s="256" t="s">
        <v>655</v>
      </c>
      <c r="AC4" s="256" t="s">
        <v>551</v>
      </c>
      <c r="AD4" s="467" t="s">
        <v>552</v>
      </c>
      <c r="AE4" s="256" t="s">
        <v>632</v>
      </c>
      <c r="AF4" s="256" t="s">
        <v>655</v>
      </c>
      <c r="AG4" s="468" t="s">
        <v>10</v>
      </c>
      <c r="AH4" s="468" t="s">
        <v>26</v>
      </c>
      <c r="AI4" s="256" t="s">
        <v>656</v>
      </c>
      <c r="AJ4" s="256" t="s">
        <v>551</v>
      </c>
      <c r="AK4" s="256" t="s">
        <v>552</v>
      </c>
      <c r="AL4" s="256" t="s">
        <v>632</v>
      </c>
      <c r="AM4" s="657"/>
      <c r="AN4" s="651"/>
      <c r="AO4" s="251" t="s">
        <v>633</v>
      </c>
      <c r="AQ4" s="251" t="s">
        <v>634</v>
      </c>
      <c r="AS4" s="251" t="s">
        <v>533</v>
      </c>
      <c r="AW4" s="262" t="s">
        <v>27</v>
      </c>
      <c r="AX4" s="262" t="s">
        <v>28</v>
      </c>
      <c r="AY4" s="262" t="s">
        <v>635</v>
      </c>
      <c r="AZ4" s="620" t="s">
        <v>636</v>
      </c>
      <c r="BA4" s="523"/>
      <c r="BB4" s="523"/>
      <c r="BC4" s="523"/>
      <c r="BD4" s="523"/>
      <c r="BE4" s="523"/>
    </row>
    <row r="5" spans="1:57" ht="13.95" customHeight="1" x14ac:dyDescent="0.3">
      <c r="A5" s="469">
        <v>1</v>
      </c>
      <c r="B5" s="469">
        <v>2</v>
      </c>
      <c r="C5" s="469">
        <v>3</v>
      </c>
      <c r="D5" s="469">
        <v>4</v>
      </c>
      <c r="E5" s="469">
        <v>5</v>
      </c>
      <c r="F5" s="470"/>
      <c r="G5" s="469">
        <v>6</v>
      </c>
      <c r="H5" s="469"/>
      <c r="I5" s="469">
        <v>7</v>
      </c>
      <c r="J5" s="471"/>
      <c r="K5" s="469">
        <v>8</v>
      </c>
      <c r="L5" s="469"/>
      <c r="M5" s="469">
        <v>9</v>
      </c>
      <c r="N5" s="471"/>
      <c r="O5" s="469">
        <v>10</v>
      </c>
      <c r="P5" s="469"/>
      <c r="Q5" s="469">
        <v>11</v>
      </c>
      <c r="R5" s="471"/>
      <c r="S5" s="469">
        <v>12</v>
      </c>
      <c r="T5" s="469"/>
      <c r="U5" s="469">
        <v>13</v>
      </c>
      <c r="V5" s="471"/>
      <c r="W5" s="469">
        <v>14</v>
      </c>
      <c r="X5" s="469"/>
      <c r="Y5" s="469">
        <v>15</v>
      </c>
      <c r="Z5" s="471"/>
      <c r="AA5" s="469">
        <v>16</v>
      </c>
      <c r="AB5" s="469"/>
      <c r="AC5" s="469">
        <v>17</v>
      </c>
      <c r="AD5" s="471"/>
      <c r="AE5" s="469">
        <v>18</v>
      </c>
      <c r="AF5" s="469"/>
      <c r="AG5" s="472"/>
      <c r="AH5" s="472"/>
      <c r="AI5" s="469">
        <v>19</v>
      </c>
      <c r="AJ5" s="469">
        <v>20</v>
      </c>
      <c r="AK5" s="469"/>
      <c r="AL5" s="469">
        <v>21</v>
      </c>
      <c r="AM5" s="469"/>
      <c r="AN5" s="251">
        <v>2025</v>
      </c>
      <c r="AO5" s="251">
        <f t="shared" ref="AO5:AO10" si="0">C75+C84+C94+C103+C112</f>
        <v>62</v>
      </c>
      <c r="AP5" s="251">
        <f t="shared" ref="AP5:AP10" si="1">C120</f>
        <v>0</v>
      </c>
      <c r="AQ5" s="251">
        <f t="shared" ref="AQ5:AQ10" si="2">C130+C139+C148+C157+C167</f>
        <v>117</v>
      </c>
      <c r="AR5" s="251">
        <f t="shared" ref="AR5:AR10" si="3">C175</f>
        <v>663</v>
      </c>
      <c r="AS5" s="251">
        <f>AO5+AQ5</f>
        <v>179</v>
      </c>
      <c r="AW5" s="262"/>
      <c r="AX5" s="262"/>
      <c r="AY5" s="262"/>
      <c r="AZ5" s="620"/>
      <c r="BA5" s="523" t="s">
        <v>656</v>
      </c>
      <c r="BB5" s="523" t="s">
        <v>551</v>
      </c>
      <c r="BC5" s="523" t="s">
        <v>552</v>
      </c>
      <c r="BD5" s="523" t="s">
        <v>632</v>
      </c>
      <c r="BE5" s="523"/>
    </row>
    <row r="6" spans="1:57" s="253" customFormat="1" ht="13.95" customHeight="1" x14ac:dyDescent="0.3">
      <c r="A6" s="256"/>
      <c r="B6" s="473" t="s">
        <v>10</v>
      </c>
      <c r="C6" s="474">
        <v>10445</v>
      </c>
      <c r="D6" s="474">
        <v>87</v>
      </c>
      <c r="E6" s="619">
        <f>E9+E1</f>
        <v>10923.75</v>
      </c>
      <c r="F6" s="619">
        <f t="shared" ref="F6:AF6" si="4">F9+F1</f>
        <v>0</v>
      </c>
      <c r="G6" s="619">
        <f t="shared" si="4"/>
        <v>0</v>
      </c>
      <c r="H6" s="619">
        <f t="shared" si="4"/>
        <v>10923.75</v>
      </c>
      <c r="I6" s="619">
        <f t="shared" si="4"/>
        <v>13738.75</v>
      </c>
      <c r="J6" s="619">
        <f t="shared" si="4"/>
        <v>0</v>
      </c>
      <c r="K6" s="619">
        <f t="shared" si="4"/>
        <v>0</v>
      </c>
      <c r="L6" s="619">
        <f t="shared" si="4"/>
        <v>13738.75</v>
      </c>
      <c r="M6" s="619">
        <f t="shared" si="4"/>
        <v>20228.25</v>
      </c>
      <c r="N6" s="619">
        <f t="shared" si="4"/>
        <v>0</v>
      </c>
      <c r="O6" s="619">
        <f t="shared" si="4"/>
        <v>0</v>
      </c>
      <c r="P6" s="619">
        <f t="shared" si="4"/>
        <v>20228.25</v>
      </c>
      <c r="Q6" s="619">
        <f t="shared" si="4"/>
        <v>38641.5</v>
      </c>
      <c r="R6" s="619">
        <f t="shared" si="4"/>
        <v>0</v>
      </c>
      <c r="S6" s="619">
        <f t="shared" si="4"/>
        <v>0</v>
      </c>
      <c r="T6" s="619">
        <f t="shared" si="4"/>
        <v>38641.5</v>
      </c>
      <c r="U6" s="619">
        <f t="shared" si="4"/>
        <v>49673.25</v>
      </c>
      <c r="V6" s="619">
        <f t="shared" si="4"/>
        <v>0</v>
      </c>
      <c r="W6" s="619">
        <f t="shared" si="4"/>
        <v>0</v>
      </c>
      <c r="X6" s="619">
        <f t="shared" si="4"/>
        <v>49673.25</v>
      </c>
      <c r="Y6" s="619">
        <f t="shared" si="4"/>
        <v>50880.25</v>
      </c>
      <c r="Z6" s="619">
        <f t="shared" si="4"/>
        <v>0</v>
      </c>
      <c r="AA6" s="619">
        <f t="shared" si="4"/>
        <v>0</v>
      </c>
      <c r="AB6" s="619">
        <f t="shared" si="4"/>
        <v>50880.25</v>
      </c>
      <c r="AC6" s="619">
        <f t="shared" si="4"/>
        <v>51183.75</v>
      </c>
      <c r="AD6" s="619">
        <f t="shared" si="4"/>
        <v>0</v>
      </c>
      <c r="AE6" s="619">
        <f t="shared" si="4"/>
        <v>0</v>
      </c>
      <c r="AF6" s="619">
        <f t="shared" si="4"/>
        <v>51183.75</v>
      </c>
      <c r="AG6" s="477">
        <f t="shared" ref="AG6:AL8" si="5">AG9+AG12</f>
        <v>8326</v>
      </c>
      <c r="AH6" s="477">
        <f t="shared" si="5"/>
        <v>79</v>
      </c>
      <c r="AI6" s="478">
        <f t="shared" si="5"/>
        <v>529622.25</v>
      </c>
      <c r="AJ6" s="479">
        <f t="shared" si="5"/>
        <v>422257.25</v>
      </c>
      <c r="AK6" s="479">
        <f t="shared" si="5"/>
        <v>0</v>
      </c>
      <c r="AL6" s="479">
        <f t="shared" si="5"/>
        <v>107365</v>
      </c>
      <c r="AM6" s="478">
        <f>AM9+AM12</f>
        <v>529622.25</v>
      </c>
      <c r="AN6" s="253">
        <v>2026</v>
      </c>
      <c r="AO6" s="253">
        <f t="shared" si="0"/>
        <v>200</v>
      </c>
      <c r="AP6" s="253">
        <f t="shared" si="1"/>
        <v>7</v>
      </c>
      <c r="AQ6" s="253">
        <f t="shared" si="2"/>
        <v>377</v>
      </c>
      <c r="AR6" s="253">
        <f t="shared" si="3"/>
        <v>1129</v>
      </c>
      <c r="AS6" s="253">
        <f t="shared" ref="AS6:AS10" si="6">AO6+AQ6</f>
        <v>577</v>
      </c>
      <c r="AT6" s="480"/>
      <c r="AU6" s="481"/>
      <c r="AV6" s="482" t="s">
        <v>29</v>
      </c>
      <c r="AW6" s="483">
        <v>87.5</v>
      </c>
      <c r="AX6" s="483">
        <v>4</v>
      </c>
      <c r="AY6" s="483">
        <v>100</v>
      </c>
      <c r="AZ6" s="621">
        <v>1.5</v>
      </c>
      <c r="BA6" s="623">
        <v>19</v>
      </c>
      <c r="BB6" s="623">
        <v>20</v>
      </c>
      <c r="BC6" s="623"/>
      <c r="BD6" s="623">
        <v>21</v>
      </c>
      <c r="BE6" s="623"/>
    </row>
    <row r="7" spans="1:57" ht="13.95" customHeight="1" x14ac:dyDescent="0.3">
      <c r="A7" s="268"/>
      <c r="B7" s="484" t="s">
        <v>536</v>
      </c>
      <c r="C7" s="485">
        <v>3534</v>
      </c>
      <c r="D7" s="485">
        <v>87</v>
      </c>
      <c r="E7" s="517">
        <f>E10+E13</f>
        <v>22579.25</v>
      </c>
      <c r="F7" s="517">
        <f t="shared" ref="F7:AF7" si="7">F10+F13</f>
        <v>0</v>
      </c>
      <c r="G7" s="517">
        <f t="shared" si="7"/>
        <v>0</v>
      </c>
      <c r="H7" s="517">
        <f t="shared" si="7"/>
        <v>22579.25</v>
      </c>
      <c r="I7" s="517">
        <f t="shared" si="7"/>
        <v>37020</v>
      </c>
      <c r="J7" s="517">
        <f t="shared" si="7"/>
        <v>0</v>
      </c>
      <c r="K7" s="517">
        <f t="shared" si="7"/>
        <v>792</v>
      </c>
      <c r="L7" s="517">
        <f t="shared" si="7"/>
        <v>37812</v>
      </c>
      <c r="M7" s="517">
        <f t="shared" si="7"/>
        <v>52055.75</v>
      </c>
      <c r="N7" s="517">
        <f t="shared" si="7"/>
        <v>0</v>
      </c>
      <c r="O7" s="517">
        <f t="shared" si="7"/>
        <v>11055</v>
      </c>
      <c r="P7" s="517">
        <f t="shared" si="7"/>
        <v>63110.75</v>
      </c>
      <c r="Q7" s="517">
        <f t="shared" si="7"/>
        <v>80835.25</v>
      </c>
      <c r="R7" s="517">
        <f t="shared" si="7"/>
        <v>0</v>
      </c>
      <c r="S7" s="517">
        <f t="shared" si="7"/>
        <v>6093</v>
      </c>
      <c r="T7" s="517">
        <f t="shared" si="7"/>
        <v>86928.25</v>
      </c>
      <c r="U7" s="517">
        <f t="shared" si="7"/>
        <v>94295</v>
      </c>
      <c r="V7" s="517">
        <f t="shared" si="7"/>
        <v>0</v>
      </c>
      <c r="W7" s="517">
        <f t="shared" si="7"/>
        <v>16794</v>
      </c>
      <c r="X7" s="517">
        <f t="shared" si="7"/>
        <v>111089</v>
      </c>
      <c r="Y7" s="517">
        <f t="shared" si="7"/>
        <v>91289</v>
      </c>
      <c r="Z7" s="517">
        <f t="shared" si="7"/>
        <v>0</v>
      </c>
      <c r="AA7" s="517">
        <f t="shared" si="7"/>
        <v>12129</v>
      </c>
      <c r="AB7" s="517">
        <f t="shared" si="7"/>
        <v>103418</v>
      </c>
      <c r="AC7" s="517">
        <f t="shared" si="7"/>
        <v>87402.25</v>
      </c>
      <c r="AD7" s="517">
        <f t="shared" si="7"/>
        <v>0</v>
      </c>
      <c r="AE7" s="517">
        <f t="shared" si="7"/>
        <v>12487</v>
      </c>
      <c r="AF7" s="517">
        <f t="shared" si="7"/>
        <v>99889.25</v>
      </c>
      <c r="AG7" s="488">
        <f>AG10+AG13</f>
        <v>2866</v>
      </c>
      <c r="AH7" s="488">
        <f>AH10+AH13</f>
        <v>79</v>
      </c>
      <c r="AI7" s="489">
        <f t="shared" si="5"/>
        <v>464435.25</v>
      </c>
      <c r="AJ7" s="489">
        <f>AJ10+AJ13</f>
        <v>405877.25</v>
      </c>
      <c r="AK7" s="489">
        <f t="shared" si="5"/>
        <v>0</v>
      </c>
      <c r="AL7" s="489">
        <f t="shared" si="5"/>
        <v>58558</v>
      </c>
      <c r="AM7" s="489"/>
      <c r="AN7" s="251">
        <v>2027</v>
      </c>
      <c r="AO7" s="251">
        <f t="shared" si="0"/>
        <v>310</v>
      </c>
      <c r="AP7" s="251">
        <f t="shared" si="1"/>
        <v>9</v>
      </c>
      <c r="AQ7" s="251">
        <f t="shared" si="2"/>
        <v>283</v>
      </c>
      <c r="AR7" s="251">
        <f t="shared" si="3"/>
        <v>1107</v>
      </c>
      <c r="AS7" s="251">
        <f t="shared" si="6"/>
        <v>593</v>
      </c>
      <c r="AT7" s="258"/>
      <c r="AU7" s="490"/>
      <c r="AV7" s="491" t="s">
        <v>30</v>
      </c>
      <c r="AW7" s="492">
        <v>87.5</v>
      </c>
      <c r="AX7" s="492">
        <v>2</v>
      </c>
      <c r="AY7" s="492">
        <v>72</v>
      </c>
      <c r="AZ7" s="622">
        <v>1.5</v>
      </c>
      <c r="BA7" s="623">
        <v>943254.45</v>
      </c>
      <c r="BB7" s="623">
        <v>422257.25</v>
      </c>
      <c r="BC7" s="523">
        <v>218515.20000000001</v>
      </c>
      <c r="BD7" s="523">
        <v>107365</v>
      </c>
      <c r="BE7" s="523">
        <v>748137.45</v>
      </c>
    </row>
    <row r="8" spans="1:57" ht="13.95" customHeight="1" x14ac:dyDescent="0.3">
      <c r="A8" s="268"/>
      <c r="B8" s="484" t="s">
        <v>537</v>
      </c>
      <c r="C8" s="485">
        <v>6911</v>
      </c>
      <c r="D8" s="485">
        <v>0</v>
      </c>
      <c r="E8" s="517">
        <f>E11+E14</f>
        <v>2364</v>
      </c>
      <c r="F8" s="517">
        <f t="shared" ref="F8:AF8" si="8">F11+F14</f>
        <v>0</v>
      </c>
      <c r="G8" s="517">
        <f t="shared" si="8"/>
        <v>0</v>
      </c>
      <c r="H8" s="517">
        <f t="shared" si="8"/>
        <v>2364</v>
      </c>
      <c r="I8" s="517">
        <f t="shared" si="8"/>
        <v>1989</v>
      </c>
      <c r="J8" s="517">
        <f t="shared" si="8"/>
        <v>0</v>
      </c>
      <c r="K8" s="517">
        <f t="shared" si="8"/>
        <v>0</v>
      </c>
      <c r="L8" s="517">
        <f t="shared" si="8"/>
        <v>1989</v>
      </c>
      <c r="M8" s="517">
        <f t="shared" si="8"/>
        <v>3408</v>
      </c>
      <c r="N8" s="517">
        <f t="shared" si="8"/>
        <v>0</v>
      </c>
      <c r="O8" s="517">
        <f t="shared" si="8"/>
        <v>10161</v>
      </c>
      <c r="P8" s="517">
        <f t="shared" si="8"/>
        <v>13569</v>
      </c>
      <c r="Q8" s="517">
        <f t="shared" si="8"/>
        <v>3348</v>
      </c>
      <c r="R8" s="517">
        <f t="shared" si="8"/>
        <v>0</v>
      </c>
      <c r="S8" s="517">
        <f t="shared" si="8"/>
        <v>9963</v>
      </c>
      <c r="T8" s="517">
        <f t="shared" si="8"/>
        <v>13311</v>
      </c>
      <c r="U8" s="517">
        <f t="shared" si="8"/>
        <v>3168</v>
      </c>
      <c r="V8" s="517">
        <f t="shared" si="8"/>
        <v>0</v>
      </c>
      <c r="W8" s="517">
        <f t="shared" si="8"/>
        <v>9450</v>
      </c>
      <c r="X8" s="517">
        <f t="shared" si="8"/>
        <v>12618</v>
      </c>
      <c r="Y8" s="517">
        <f t="shared" si="8"/>
        <v>3240</v>
      </c>
      <c r="Z8" s="517">
        <f t="shared" si="8"/>
        <v>0</v>
      </c>
      <c r="AA8" s="517">
        <f t="shared" si="8"/>
        <v>9648</v>
      </c>
      <c r="AB8" s="517">
        <f t="shared" si="8"/>
        <v>12888</v>
      </c>
      <c r="AC8" s="517">
        <f t="shared" si="8"/>
        <v>3216</v>
      </c>
      <c r="AD8" s="517">
        <f t="shared" si="8"/>
        <v>0</v>
      </c>
      <c r="AE8" s="517">
        <f t="shared" si="8"/>
        <v>9585</v>
      </c>
      <c r="AF8" s="517">
        <f t="shared" si="8"/>
        <v>12801</v>
      </c>
      <c r="AG8" s="488">
        <f t="shared" si="5"/>
        <v>5460</v>
      </c>
      <c r="AH8" s="488">
        <f t="shared" si="5"/>
        <v>0</v>
      </c>
      <c r="AI8" s="489">
        <f t="shared" si="5"/>
        <v>65187</v>
      </c>
      <c r="AJ8" s="489">
        <f t="shared" si="5"/>
        <v>16380</v>
      </c>
      <c r="AK8" s="489">
        <f t="shared" si="5"/>
        <v>0</v>
      </c>
      <c r="AL8" s="489">
        <f t="shared" si="5"/>
        <v>48807</v>
      </c>
      <c r="AM8" s="489"/>
      <c r="AN8" s="251">
        <v>2028</v>
      </c>
      <c r="AO8" s="251">
        <f t="shared" si="0"/>
        <v>313</v>
      </c>
      <c r="AP8" s="251">
        <f t="shared" si="1"/>
        <v>6</v>
      </c>
      <c r="AQ8" s="251">
        <f t="shared" si="2"/>
        <v>245</v>
      </c>
      <c r="AR8" s="251">
        <f t="shared" si="3"/>
        <v>1050</v>
      </c>
      <c r="AS8" s="251">
        <f t="shared" si="6"/>
        <v>558</v>
      </c>
      <c r="AT8" s="252"/>
      <c r="AU8" s="493"/>
      <c r="AV8" s="494" t="s">
        <v>31</v>
      </c>
      <c r="AW8" s="255">
        <v>68</v>
      </c>
      <c r="AX8" s="255">
        <v>3</v>
      </c>
      <c r="AY8" s="255">
        <v>63</v>
      </c>
      <c r="AZ8" s="622">
        <v>1.5</v>
      </c>
      <c r="BA8" s="623">
        <v>799976.25</v>
      </c>
      <c r="BB8" s="623">
        <v>405877.25</v>
      </c>
      <c r="BC8" s="523">
        <v>140424</v>
      </c>
      <c r="BD8" s="523">
        <v>58558</v>
      </c>
      <c r="BE8" s="523"/>
    </row>
    <row r="9" spans="1:57" s="253" customFormat="1" ht="22.8" x14ac:dyDescent="0.3">
      <c r="A9" s="256" t="s">
        <v>168</v>
      </c>
      <c r="B9" s="495" t="str">
        <f t="shared" ref="B9" si="9">B72</f>
        <v>Tổng cộng (đơn vị  tự chủ nhóm 1,2)</v>
      </c>
      <c r="C9" s="474">
        <v>1868</v>
      </c>
      <c r="D9" s="474">
        <v>0</v>
      </c>
      <c r="E9" s="619">
        <f>E10+E11</f>
        <v>10923.75</v>
      </c>
      <c r="F9" s="619">
        <f t="shared" ref="F9:AF9" si="10">F10+F11</f>
        <v>0</v>
      </c>
      <c r="G9" s="619">
        <f t="shared" si="10"/>
        <v>0</v>
      </c>
      <c r="H9" s="619">
        <f t="shared" si="10"/>
        <v>10923.75</v>
      </c>
      <c r="I9" s="619">
        <f t="shared" si="10"/>
        <v>13738.75</v>
      </c>
      <c r="J9" s="619">
        <f t="shared" si="10"/>
        <v>0</v>
      </c>
      <c r="K9" s="619">
        <f t="shared" si="10"/>
        <v>0</v>
      </c>
      <c r="L9" s="619">
        <f t="shared" si="10"/>
        <v>13738.75</v>
      </c>
      <c r="M9" s="619">
        <f t="shared" si="10"/>
        <v>20228.25</v>
      </c>
      <c r="N9" s="619">
        <f t="shared" si="10"/>
        <v>0</v>
      </c>
      <c r="O9" s="619">
        <f t="shared" si="10"/>
        <v>0</v>
      </c>
      <c r="P9" s="619">
        <f t="shared" si="10"/>
        <v>20228.25</v>
      </c>
      <c r="Q9" s="619">
        <f t="shared" si="10"/>
        <v>38641.5</v>
      </c>
      <c r="R9" s="619">
        <f t="shared" si="10"/>
        <v>0</v>
      </c>
      <c r="S9" s="619">
        <f t="shared" si="10"/>
        <v>0</v>
      </c>
      <c r="T9" s="619">
        <f t="shared" si="10"/>
        <v>38641.5</v>
      </c>
      <c r="U9" s="619">
        <f t="shared" si="10"/>
        <v>49673.25</v>
      </c>
      <c r="V9" s="619">
        <f t="shared" si="10"/>
        <v>0</v>
      </c>
      <c r="W9" s="619">
        <f t="shared" si="10"/>
        <v>0</v>
      </c>
      <c r="X9" s="619">
        <f t="shared" si="10"/>
        <v>49673.25</v>
      </c>
      <c r="Y9" s="619">
        <f t="shared" si="10"/>
        <v>50880.25</v>
      </c>
      <c r="Z9" s="619">
        <f t="shared" si="10"/>
        <v>0</v>
      </c>
      <c r="AA9" s="619">
        <f t="shared" si="10"/>
        <v>0</v>
      </c>
      <c r="AB9" s="619">
        <f t="shared" si="10"/>
        <v>50880.25</v>
      </c>
      <c r="AC9" s="619">
        <f t="shared" si="10"/>
        <v>51183.75</v>
      </c>
      <c r="AD9" s="619">
        <f t="shared" si="10"/>
        <v>0</v>
      </c>
      <c r="AE9" s="619">
        <f t="shared" si="10"/>
        <v>0</v>
      </c>
      <c r="AF9" s="619">
        <f t="shared" si="10"/>
        <v>51183.75</v>
      </c>
      <c r="AG9" s="477">
        <f>AG10+AG11</f>
        <v>1610</v>
      </c>
      <c r="AH9" s="477">
        <f>AH10+AH11</f>
        <v>0</v>
      </c>
      <c r="AI9" s="478">
        <f>AJ9+AL9</f>
        <v>210607</v>
      </c>
      <c r="AJ9" s="474">
        <f>AJ10+AJ11</f>
        <v>210607</v>
      </c>
      <c r="AK9" s="474">
        <f t="shared" ref="AK9:AL9" si="11">AK10+AK11</f>
        <v>0</v>
      </c>
      <c r="AL9" s="474">
        <f t="shared" si="11"/>
        <v>0</v>
      </c>
      <c r="AM9" s="474">
        <f>AJ9</f>
        <v>210607</v>
      </c>
      <c r="AN9" s="251">
        <v>2029</v>
      </c>
      <c r="AO9" s="251">
        <f t="shared" si="0"/>
        <v>311</v>
      </c>
      <c r="AP9" s="251">
        <f t="shared" si="1"/>
        <v>8</v>
      </c>
      <c r="AQ9" s="251">
        <f t="shared" si="2"/>
        <v>205</v>
      </c>
      <c r="AR9" s="251">
        <f t="shared" si="3"/>
        <v>1072</v>
      </c>
      <c r="AS9" s="251">
        <f t="shared" si="6"/>
        <v>516</v>
      </c>
      <c r="AT9" s="252"/>
      <c r="AU9" s="493"/>
      <c r="AV9" s="494" t="s">
        <v>32</v>
      </c>
      <c r="AW9" s="255">
        <v>68</v>
      </c>
      <c r="AX9" s="255">
        <v>2</v>
      </c>
      <c r="AY9" s="255">
        <v>48</v>
      </c>
      <c r="AZ9" s="622">
        <v>1.5</v>
      </c>
      <c r="BA9" s="623">
        <v>143278.20000000001</v>
      </c>
      <c r="BB9" s="623">
        <v>16380</v>
      </c>
      <c r="BC9" s="623">
        <v>78091.199999999997</v>
      </c>
      <c r="BD9" s="623">
        <v>48807</v>
      </c>
      <c r="BE9" s="623"/>
    </row>
    <row r="10" spans="1:57" ht="13.95" customHeight="1" x14ac:dyDescent="0.3">
      <c r="A10" s="268"/>
      <c r="B10" s="484" t="s">
        <v>536</v>
      </c>
      <c r="C10" s="485">
        <v>1830</v>
      </c>
      <c r="D10" s="485">
        <v>0</v>
      </c>
      <c r="E10" s="485">
        <v>10920.75</v>
      </c>
      <c r="F10" s="486">
        <v>0</v>
      </c>
      <c r="G10" s="485">
        <v>0</v>
      </c>
      <c r="H10" s="474">
        <f t="shared" ref="H10:H14" si="12">E10+G10</f>
        <v>10920.75</v>
      </c>
      <c r="I10" s="485">
        <v>13738.75</v>
      </c>
      <c r="J10" s="487">
        <v>0</v>
      </c>
      <c r="K10" s="485"/>
      <c r="L10" s="474">
        <f t="shared" ref="L10:L14" si="13">I10+K10</f>
        <v>13738.75</v>
      </c>
      <c r="M10" s="485">
        <v>20207.25</v>
      </c>
      <c r="N10" s="487">
        <v>0</v>
      </c>
      <c r="O10" s="485"/>
      <c r="P10" s="474">
        <f t="shared" ref="P10:P14" si="14">M10+O10</f>
        <v>20207.25</v>
      </c>
      <c r="Q10" s="485">
        <v>38614.5</v>
      </c>
      <c r="R10" s="487">
        <v>0</v>
      </c>
      <c r="S10" s="485"/>
      <c r="T10" s="626">
        <f t="shared" ref="T10:T14" si="15">Q10+S10</f>
        <v>38614.5</v>
      </c>
      <c r="U10" s="485">
        <v>49655.25</v>
      </c>
      <c r="V10" s="487">
        <v>0</v>
      </c>
      <c r="W10" s="485"/>
      <c r="X10" s="626">
        <f t="shared" ref="X10:X14" si="16">U10+W10</f>
        <v>49655.25</v>
      </c>
      <c r="Y10" s="485">
        <v>50856.25</v>
      </c>
      <c r="Z10" s="487">
        <v>0</v>
      </c>
      <c r="AA10" s="485"/>
      <c r="AB10" s="626">
        <f t="shared" ref="AB10:AB14" si="17">Y10+AA10</f>
        <v>50856.25</v>
      </c>
      <c r="AC10" s="485">
        <v>51162.75</v>
      </c>
      <c r="AD10" s="487">
        <v>0</v>
      </c>
      <c r="AE10" s="485"/>
      <c r="AF10" s="626">
        <f t="shared" ref="AF10:AF14" si="18">AC10+AE10</f>
        <v>51162.75</v>
      </c>
      <c r="AG10" s="488">
        <f>AG73+AG82+AG91+AG100+AG109</f>
        <v>1573</v>
      </c>
      <c r="AH10" s="488">
        <f>AH73+AH82+AH91+AH100+AH109</f>
        <v>0</v>
      </c>
      <c r="AI10" s="499">
        <f t="shared" ref="AI10:AI11" si="19">AJ10+AL10</f>
        <v>210496</v>
      </c>
      <c r="AJ10" s="485">
        <f>AC10+Y10+U10+Q10+M10</f>
        <v>210496</v>
      </c>
      <c r="AK10" s="485">
        <f t="shared" ref="AK10:AL11" si="20">AD10+Z10+V10+R10+N10</f>
        <v>0</v>
      </c>
      <c r="AL10" s="485">
        <f t="shared" si="20"/>
        <v>0</v>
      </c>
      <c r="AM10" s="485"/>
      <c r="AN10" s="251">
        <v>2030</v>
      </c>
      <c r="AO10" s="251">
        <f t="shared" si="0"/>
        <v>313</v>
      </c>
      <c r="AP10" s="251">
        <f t="shared" si="1"/>
        <v>7</v>
      </c>
      <c r="AQ10" s="251">
        <f t="shared" si="2"/>
        <v>183</v>
      </c>
      <c r="AR10" s="251">
        <f t="shared" si="3"/>
        <v>1065</v>
      </c>
      <c r="AS10" s="251">
        <f t="shared" si="6"/>
        <v>496</v>
      </c>
      <c r="AT10" s="258"/>
      <c r="AU10" s="490"/>
      <c r="AV10" s="491" t="s">
        <v>33</v>
      </c>
      <c r="AW10" s="492">
        <v>58</v>
      </c>
      <c r="AX10" s="492">
        <v>4</v>
      </c>
      <c r="AY10" s="492">
        <v>27</v>
      </c>
      <c r="AZ10" s="622">
        <v>1.5</v>
      </c>
      <c r="BA10" s="624">
        <v>405724</v>
      </c>
      <c r="BB10" s="624">
        <v>210607</v>
      </c>
      <c r="BC10" s="623">
        <v>0</v>
      </c>
      <c r="BD10" s="523">
        <v>0</v>
      </c>
      <c r="BE10" s="523">
        <v>210607</v>
      </c>
    </row>
    <row r="11" spans="1:57" ht="13.95" customHeight="1" x14ac:dyDescent="0.3">
      <c r="A11" s="268"/>
      <c r="B11" s="484" t="s">
        <v>537</v>
      </c>
      <c r="C11" s="485">
        <v>38</v>
      </c>
      <c r="D11" s="485">
        <v>0</v>
      </c>
      <c r="E11" s="485">
        <v>3</v>
      </c>
      <c r="F11" s="486">
        <v>0</v>
      </c>
      <c r="G11" s="485">
        <v>0</v>
      </c>
      <c r="H11" s="474">
        <f t="shared" si="12"/>
        <v>3</v>
      </c>
      <c r="I11" s="485">
        <v>0</v>
      </c>
      <c r="J11" s="487">
        <v>0</v>
      </c>
      <c r="K11" s="485"/>
      <c r="L11" s="474">
        <f t="shared" si="13"/>
        <v>0</v>
      </c>
      <c r="M11" s="485">
        <v>21</v>
      </c>
      <c r="N11" s="487">
        <v>0</v>
      </c>
      <c r="O11" s="485"/>
      <c r="P11" s="474">
        <f t="shared" si="14"/>
        <v>21</v>
      </c>
      <c r="Q11" s="485">
        <v>27</v>
      </c>
      <c r="R11" s="487">
        <v>0</v>
      </c>
      <c r="S11" s="485"/>
      <c r="T11" s="626">
        <f t="shared" si="15"/>
        <v>27</v>
      </c>
      <c r="U11" s="485">
        <v>18</v>
      </c>
      <c r="V11" s="487">
        <v>0</v>
      </c>
      <c r="W11" s="485"/>
      <c r="X11" s="626">
        <f t="shared" si="16"/>
        <v>18</v>
      </c>
      <c r="Y11" s="485">
        <v>24</v>
      </c>
      <c r="Z11" s="487">
        <v>0</v>
      </c>
      <c r="AA11" s="485"/>
      <c r="AB11" s="626">
        <f t="shared" si="17"/>
        <v>24</v>
      </c>
      <c r="AC11" s="485">
        <v>21</v>
      </c>
      <c r="AD11" s="487">
        <v>0</v>
      </c>
      <c r="AE11" s="485"/>
      <c r="AF11" s="626">
        <f t="shared" si="18"/>
        <v>21</v>
      </c>
      <c r="AG11" s="488">
        <f>AG118</f>
        <v>37</v>
      </c>
      <c r="AH11" s="488">
        <f>AH118</f>
        <v>0</v>
      </c>
      <c r="AI11" s="499">
        <f t="shared" si="19"/>
        <v>111</v>
      </c>
      <c r="AJ11" s="485">
        <f>AC11+Y11+U11+Q11+M11</f>
        <v>111</v>
      </c>
      <c r="AK11" s="485">
        <f t="shared" si="20"/>
        <v>0</v>
      </c>
      <c r="AL11" s="485">
        <f t="shared" si="20"/>
        <v>0</v>
      </c>
      <c r="AM11" s="485"/>
      <c r="AN11" s="251" t="s">
        <v>162</v>
      </c>
      <c r="AO11" s="497">
        <f t="shared" ref="AO11" si="21">SUM(AO6:AO10)</f>
        <v>1447</v>
      </c>
      <c r="AP11" s="497">
        <f t="shared" ref="AP11:AS11" si="22">SUM(AP6:AP10)</f>
        <v>37</v>
      </c>
      <c r="AQ11" s="497">
        <f t="shared" si="22"/>
        <v>1293</v>
      </c>
      <c r="AR11" s="497">
        <f t="shared" si="22"/>
        <v>5423</v>
      </c>
      <c r="AS11" s="497">
        <f t="shared" si="22"/>
        <v>2740</v>
      </c>
      <c r="AT11" s="498"/>
      <c r="AU11" s="498"/>
      <c r="AV11" s="491" t="s">
        <v>537</v>
      </c>
      <c r="AW11" s="492">
        <v>3</v>
      </c>
      <c r="AX11" s="492">
        <v>1</v>
      </c>
      <c r="AY11" s="492"/>
      <c r="AZ11" s="622">
        <v>3</v>
      </c>
      <c r="BA11" s="623">
        <v>405613</v>
      </c>
      <c r="BB11" s="623">
        <v>210496</v>
      </c>
      <c r="BC11" s="623">
        <v>0</v>
      </c>
      <c r="BD11" s="523">
        <v>0</v>
      </c>
      <c r="BE11" s="523"/>
    </row>
    <row r="12" spans="1:57" s="253" customFormat="1" ht="22.8" x14ac:dyDescent="0.3">
      <c r="A12" s="256" t="s">
        <v>101</v>
      </c>
      <c r="B12" s="495" t="str">
        <f>B126</f>
        <v>Tổng cộng (đơn vị  tự chủ nhóm 3,4)</v>
      </c>
      <c r="C12" s="474">
        <v>8577</v>
      </c>
      <c r="D12" s="474">
        <v>87</v>
      </c>
      <c r="E12" s="619">
        <f t="shared" ref="E12:G12" si="23">E13+E14</f>
        <v>14019.5</v>
      </c>
      <c r="F12" s="619">
        <f t="shared" si="23"/>
        <v>0</v>
      </c>
      <c r="G12" s="619">
        <f t="shared" si="23"/>
        <v>0</v>
      </c>
      <c r="H12" s="619">
        <f>H13+H14</f>
        <v>14019.5</v>
      </c>
      <c r="I12" s="619">
        <f t="shared" ref="I12:AF12" si="24">I13+I14</f>
        <v>25270.25</v>
      </c>
      <c r="J12" s="619">
        <f t="shared" si="24"/>
        <v>0</v>
      </c>
      <c r="K12" s="619">
        <f t="shared" si="24"/>
        <v>792</v>
      </c>
      <c r="L12" s="619">
        <f t="shared" si="24"/>
        <v>26062.25</v>
      </c>
      <c r="M12" s="619">
        <f t="shared" si="24"/>
        <v>35235.5</v>
      </c>
      <c r="N12" s="619">
        <f t="shared" si="24"/>
        <v>0</v>
      </c>
      <c r="O12" s="619">
        <f t="shared" si="24"/>
        <v>21216</v>
      </c>
      <c r="P12" s="619">
        <f t="shared" si="24"/>
        <v>56451.5</v>
      </c>
      <c r="Q12" s="619">
        <f t="shared" si="24"/>
        <v>45541.75</v>
      </c>
      <c r="R12" s="619">
        <f t="shared" si="24"/>
        <v>0</v>
      </c>
      <c r="S12" s="619">
        <f t="shared" si="24"/>
        <v>16056</v>
      </c>
      <c r="T12" s="619">
        <f t="shared" si="24"/>
        <v>61597.75</v>
      </c>
      <c r="U12" s="619">
        <f t="shared" si="24"/>
        <v>47789.75</v>
      </c>
      <c r="V12" s="619">
        <f t="shared" si="24"/>
        <v>0</v>
      </c>
      <c r="W12" s="619">
        <f t="shared" si="24"/>
        <v>26244</v>
      </c>
      <c r="X12" s="619">
        <f t="shared" si="24"/>
        <v>74033.75</v>
      </c>
      <c r="Y12" s="619">
        <f t="shared" si="24"/>
        <v>43648.75</v>
      </c>
      <c r="Z12" s="619">
        <f t="shared" si="24"/>
        <v>0</v>
      </c>
      <c r="AA12" s="619">
        <f t="shared" si="24"/>
        <v>21777</v>
      </c>
      <c r="AB12" s="619">
        <f t="shared" si="24"/>
        <v>65425.75</v>
      </c>
      <c r="AC12" s="619">
        <f t="shared" si="24"/>
        <v>39434.5</v>
      </c>
      <c r="AD12" s="619">
        <f t="shared" si="24"/>
        <v>0</v>
      </c>
      <c r="AE12" s="619">
        <f t="shared" si="24"/>
        <v>22072</v>
      </c>
      <c r="AF12" s="619">
        <f t="shared" si="24"/>
        <v>61506.5</v>
      </c>
      <c r="AG12" s="477">
        <f>AG13+AG14</f>
        <v>6716</v>
      </c>
      <c r="AH12" s="477">
        <f>AH13+AH14</f>
        <v>79</v>
      </c>
      <c r="AI12" s="478">
        <f>AJ12+AL12</f>
        <v>319015.25</v>
      </c>
      <c r="AJ12" s="474">
        <f>AJ13+AJ14</f>
        <v>211650.25</v>
      </c>
      <c r="AK12" s="474">
        <f t="shared" ref="AK12:AL12" si="25">AK13+AK14</f>
        <v>0</v>
      </c>
      <c r="AL12" s="474">
        <f t="shared" si="25"/>
        <v>107365</v>
      </c>
      <c r="AM12" s="474">
        <f>AI12</f>
        <v>319015.25</v>
      </c>
      <c r="AQ12" s="251"/>
      <c r="AR12" s="251"/>
      <c r="AT12" s="498"/>
      <c r="AU12" s="498"/>
      <c r="AV12" s="498"/>
      <c r="AW12" s="498"/>
      <c r="AX12" s="498"/>
      <c r="AY12" s="251"/>
      <c r="AZ12" s="251"/>
      <c r="BA12" s="623">
        <v>111</v>
      </c>
      <c r="BB12" s="623">
        <v>111</v>
      </c>
      <c r="BC12" s="624">
        <v>0</v>
      </c>
      <c r="BD12" s="623">
        <v>0</v>
      </c>
      <c r="BE12" s="623"/>
    </row>
    <row r="13" spans="1:57" s="253" customFormat="1" ht="13.95" customHeight="1" x14ac:dyDescent="0.3">
      <c r="A13" s="256"/>
      <c r="B13" s="484" t="s">
        <v>536</v>
      </c>
      <c r="C13" s="485">
        <v>1704</v>
      </c>
      <c r="D13" s="485">
        <v>87</v>
      </c>
      <c r="E13" s="485">
        <v>11658.5</v>
      </c>
      <c r="F13" s="486">
        <v>0</v>
      </c>
      <c r="G13" s="485">
        <v>0</v>
      </c>
      <c r="H13" s="474">
        <f t="shared" si="12"/>
        <v>11658.5</v>
      </c>
      <c r="I13" s="485">
        <v>23281.25</v>
      </c>
      <c r="J13" s="487">
        <v>0</v>
      </c>
      <c r="K13" s="485">
        <v>792</v>
      </c>
      <c r="L13" s="474">
        <f t="shared" si="13"/>
        <v>24073.25</v>
      </c>
      <c r="M13" s="485">
        <v>31848.5</v>
      </c>
      <c r="N13" s="487">
        <v>0</v>
      </c>
      <c r="O13" s="485">
        <v>11055</v>
      </c>
      <c r="P13" s="474">
        <f t="shared" si="14"/>
        <v>42903.5</v>
      </c>
      <c r="Q13" s="485">
        <v>42220.75</v>
      </c>
      <c r="R13" s="487">
        <v>0</v>
      </c>
      <c r="S13" s="485">
        <v>6093</v>
      </c>
      <c r="T13" s="626">
        <f t="shared" si="15"/>
        <v>48313.75</v>
      </c>
      <c r="U13" s="485">
        <v>44639.75</v>
      </c>
      <c r="V13" s="487">
        <v>0</v>
      </c>
      <c r="W13" s="485">
        <v>16794</v>
      </c>
      <c r="X13" s="626">
        <f t="shared" si="16"/>
        <v>61433.75</v>
      </c>
      <c r="Y13" s="485">
        <v>40432.75</v>
      </c>
      <c r="Z13" s="487">
        <v>0</v>
      </c>
      <c r="AA13" s="485">
        <v>12129</v>
      </c>
      <c r="AB13" s="626">
        <f t="shared" si="17"/>
        <v>52561.75</v>
      </c>
      <c r="AC13" s="485">
        <v>36239.5</v>
      </c>
      <c r="AD13" s="487">
        <v>0</v>
      </c>
      <c r="AE13" s="485">
        <v>12487</v>
      </c>
      <c r="AF13" s="626">
        <f t="shared" si="18"/>
        <v>48726.5</v>
      </c>
      <c r="AG13" s="488">
        <f>AG127+AG136+AG145+AG154+AG163</f>
        <v>1293</v>
      </c>
      <c r="AH13" s="488">
        <f>AH127+AH136+AH145+AH154+AH163</f>
        <v>79</v>
      </c>
      <c r="AI13" s="499">
        <f>AJ13+AL13</f>
        <v>253939.25</v>
      </c>
      <c r="AJ13" s="485">
        <f>AC13+Y13+U13+Q13+M13</f>
        <v>195381.25</v>
      </c>
      <c r="AK13" s="485">
        <f t="shared" ref="AK13:AL13" si="26">AD13+Z13+V13+R13+N13</f>
        <v>0</v>
      </c>
      <c r="AL13" s="485">
        <f t="shared" si="26"/>
        <v>58558</v>
      </c>
      <c r="AM13" s="474"/>
      <c r="AQ13" s="251"/>
      <c r="AR13" s="251"/>
      <c r="AS13" s="498"/>
      <c r="AT13" s="251"/>
      <c r="AU13" s="251"/>
      <c r="AV13" s="251"/>
      <c r="AW13" s="251"/>
      <c r="AX13" s="251">
        <v>1</v>
      </c>
      <c r="AY13" s="498" t="s">
        <v>637</v>
      </c>
      <c r="AZ13" s="498"/>
      <c r="BA13" s="532">
        <v>537530.44999999995</v>
      </c>
      <c r="BB13" s="532">
        <v>211650.25</v>
      </c>
      <c r="BC13" s="623">
        <v>218515.20000000001</v>
      </c>
      <c r="BD13" s="623">
        <v>107365</v>
      </c>
      <c r="BE13" s="623">
        <v>537530.44999999995</v>
      </c>
    </row>
    <row r="14" spans="1:57" s="253" customFormat="1" ht="13.95" customHeight="1" x14ac:dyDescent="0.3">
      <c r="A14" s="256"/>
      <c r="B14" s="484" t="s">
        <v>537</v>
      </c>
      <c r="C14" s="485">
        <v>6873</v>
      </c>
      <c r="D14" s="485">
        <v>0</v>
      </c>
      <c r="E14" s="485">
        <v>2361</v>
      </c>
      <c r="F14" s="486">
        <v>0</v>
      </c>
      <c r="G14" s="485">
        <v>0</v>
      </c>
      <c r="H14" s="474">
        <f t="shared" si="12"/>
        <v>2361</v>
      </c>
      <c r="I14" s="485">
        <v>1989</v>
      </c>
      <c r="J14" s="487">
        <v>0</v>
      </c>
      <c r="K14" s="485">
        <v>0</v>
      </c>
      <c r="L14" s="474">
        <f t="shared" si="13"/>
        <v>1989</v>
      </c>
      <c r="M14" s="485">
        <v>3387</v>
      </c>
      <c r="N14" s="487">
        <v>0</v>
      </c>
      <c r="O14" s="485">
        <v>10161</v>
      </c>
      <c r="P14" s="474">
        <f t="shared" si="14"/>
        <v>13548</v>
      </c>
      <c r="Q14" s="485">
        <v>3321</v>
      </c>
      <c r="R14" s="487">
        <v>0</v>
      </c>
      <c r="S14" s="485">
        <v>9963</v>
      </c>
      <c r="T14" s="626">
        <f t="shared" si="15"/>
        <v>13284</v>
      </c>
      <c r="U14" s="485">
        <v>3150</v>
      </c>
      <c r="V14" s="487">
        <v>0</v>
      </c>
      <c r="W14" s="485">
        <v>9450</v>
      </c>
      <c r="X14" s="626">
        <f t="shared" si="16"/>
        <v>12600</v>
      </c>
      <c r="Y14" s="485">
        <v>3216</v>
      </c>
      <c r="Z14" s="487">
        <v>0</v>
      </c>
      <c r="AA14" s="485">
        <v>9648</v>
      </c>
      <c r="AB14" s="626">
        <f t="shared" si="17"/>
        <v>12864</v>
      </c>
      <c r="AC14" s="485">
        <v>3195</v>
      </c>
      <c r="AD14" s="487">
        <v>0</v>
      </c>
      <c r="AE14" s="485">
        <v>9585</v>
      </c>
      <c r="AF14" s="626">
        <f t="shared" si="18"/>
        <v>12780</v>
      </c>
      <c r="AG14" s="488">
        <f>AG173</f>
        <v>5423</v>
      </c>
      <c r="AH14" s="488">
        <f>AH173</f>
        <v>0</v>
      </c>
      <c r="AI14" s="499">
        <f>AJ14+AL14</f>
        <v>65076</v>
      </c>
      <c r="AJ14" s="485">
        <f>AC14+Y14+U14+Q14+M14</f>
        <v>16269</v>
      </c>
      <c r="AK14" s="485">
        <f t="shared" ref="AK14" si="27">AD14+Z14+V14+R14+N14</f>
        <v>0</v>
      </c>
      <c r="AL14" s="485">
        <f t="shared" ref="AL14" si="28">AE14+AA14+W14+S14+O14</f>
        <v>48807</v>
      </c>
      <c r="AM14" s="474"/>
      <c r="AQ14" s="251"/>
      <c r="AR14" s="251"/>
      <c r="AS14" s="251"/>
      <c r="AW14" s="498"/>
      <c r="AX14" s="498"/>
      <c r="AY14" s="251" t="s">
        <v>638</v>
      </c>
      <c r="AZ14" s="251"/>
      <c r="BA14" s="523">
        <v>394363.24999999994</v>
      </c>
      <c r="BB14" s="523">
        <v>195381.25</v>
      </c>
      <c r="BC14" s="623">
        <v>140424</v>
      </c>
      <c r="BD14" s="623">
        <v>58558</v>
      </c>
      <c r="BE14" s="623"/>
    </row>
    <row r="15" spans="1:57" s="253" customFormat="1" ht="13.95" customHeight="1" x14ac:dyDescent="0.3">
      <c r="A15" s="256"/>
      <c r="B15" s="484"/>
      <c r="C15" s="485"/>
      <c r="D15" s="485"/>
      <c r="E15" s="485"/>
      <c r="F15" s="486"/>
      <c r="G15" s="485"/>
      <c r="H15" s="474"/>
      <c r="I15" s="485"/>
      <c r="J15" s="487"/>
      <c r="K15" s="485"/>
      <c r="L15" s="474"/>
      <c r="M15" s="485"/>
      <c r="N15" s="487"/>
      <c r="O15" s="485"/>
      <c r="P15" s="474"/>
      <c r="Q15" s="485"/>
      <c r="R15" s="487"/>
      <c r="S15" s="485"/>
      <c r="T15" s="474"/>
      <c r="U15" s="485"/>
      <c r="V15" s="487"/>
      <c r="W15" s="485"/>
      <c r="X15" s="474"/>
      <c r="Y15" s="485"/>
      <c r="Z15" s="487"/>
      <c r="AA15" s="485"/>
      <c r="AB15" s="474"/>
      <c r="AC15" s="485"/>
      <c r="AD15" s="487"/>
      <c r="AE15" s="485"/>
      <c r="AF15" s="474"/>
      <c r="AG15" s="488"/>
      <c r="AH15" s="488"/>
      <c r="AI15" s="499"/>
      <c r="AJ15" s="474"/>
      <c r="AK15" s="474"/>
      <c r="AL15" s="474"/>
      <c r="AM15" s="474"/>
      <c r="AQ15" s="251"/>
      <c r="AR15" s="251"/>
      <c r="AS15" s="251"/>
      <c r="AW15" s="498"/>
      <c r="AX15" s="498"/>
      <c r="AY15" s="251"/>
      <c r="AZ15" s="251"/>
      <c r="BA15" s="523">
        <v>143167.20000000001</v>
      </c>
      <c r="BB15" s="523">
        <v>16269</v>
      </c>
      <c r="BC15" s="623">
        <v>78091.199999999997</v>
      </c>
      <c r="BD15" s="623">
        <v>48807</v>
      </c>
      <c r="BE15" s="623"/>
    </row>
    <row r="16" spans="1:57" s="253" customFormat="1" ht="13.95" customHeight="1" x14ac:dyDescent="0.3">
      <c r="A16" s="256"/>
      <c r="B16" s="262"/>
      <c r="C16" s="485"/>
      <c r="D16" s="485"/>
      <c r="E16" s="485"/>
      <c r="F16" s="500"/>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74"/>
      <c r="AJ16" s="474"/>
      <c r="AK16" s="474"/>
      <c r="AL16" s="474"/>
      <c r="AM16" s="474"/>
      <c r="AQ16" s="251"/>
      <c r="AR16" s="251"/>
      <c r="AS16" s="251"/>
      <c r="AW16" s="498"/>
      <c r="AX16" s="498"/>
      <c r="AY16" s="251"/>
      <c r="AZ16" s="251"/>
      <c r="BA16" s="251"/>
      <c r="BB16" s="251"/>
    </row>
    <row r="17" spans="1:55" s="253" customFormat="1" ht="13.95" customHeight="1" x14ac:dyDescent="0.3">
      <c r="A17" s="256" t="s">
        <v>168</v>
      </c>
      <c r="B17" s="473" t="s">
        <v>538</v>
      </c>
      <c r="C17" s="474">
        <f>C18+C27+C36+C45+C54+C64</f>
        <v>10445</v>
      </c>
      <c r="D17" s="474">
        <f t="shared" ref="D17:AH17" si="29">D18+D27+D36+D45+D54+D64</f>
        <v>87</v>
      </c>
      <c r="E17" s="474">
        <f t="shared" si="29"/>
        <v>24943.25</v>
      </c>
      <c r="F17" s="475">
        <f t="shared" si="29"/>
        <v>15720</v>
      </c>
      <c r="G17" s="474">
        <f t="shared" si="29"/>
        <v>0</v>
      </c>
      <c r="H17" s="474"/>
      <c r="I17" s="474">
        <f t="shared" si="29"/>
        <v>39009</v>
      </c>
      <c r="J17" s="476">
        <f t="shared" si="29"/>
        <v>25824</v>
      </c>
      <c r="K17" s="474">
        <f t="shared" si="29"/>
        <v>5304</v>
      </c>
      <c r="L17" s="474"/>
      <c r="M17" s="474">
        <f t="shared" si="29"/>
        <v>55463.75</v>
      </c>
      <c r="N17" s="476">
        <f t="shared" si="29"/>
        <v>52017.599999999999</v>
      </c>
      <c r="O17" s="474">
        <f t="shared" si="29"/>
        <v>27516</v>
      </c>
      <c r="P17" s="474"/>
      <c r="Q17" s="474">
        <f t="shared" si="29"/>
        <v>84183.25</v>
      </c>
      <c r="R17" s="476">
        <f t="shared" si="29"/>
        <v>70348.800000000003</v>
      </c>
      <c r="S17" s="474">
        <f t="shared" si="29"/>
        <v>18814</v>
      </c>
      <c r="T17" s="474"/>
      <c r="U17" s="474">
        <f t="shared" si="29"/>
        <v>97463</v>
      </c>
      <c r="V17" s="476">
        <f t="shared" si="29"/>
        <v>78192</v>
      </c>
      <c r="W17" s="474">
        <f t="shared" si="29"/>
        <v>43231</v>
      </c>
      <c r="X17" s="474"/>
      <c r="Y17" s="474">
        <f t="shared" si="29"/>
        <v>94529</v>
      </c>
      <c r="Z17" s="476">
        <f t="shared" si="29"/>
        <v>76516.800000000003</v>
      </c>
      <c r="AA17" s="474">
        <f t="shared" si="29"/>
        <v>39516</v>
      </c>
      <c r="AB17" s="474"/>
      <c r="AC17" s="474">
        <f t="shared" si="29"/>
        <v>90618.25</v>
      </c>
      <c r="AD17" s="476">
        <f t="shared" si="29"/>
        <v>73728</v>
      </c>
      <c r="AE17" s="474">
        <f t="shared" si="29"/>
        <v>41117</v>
      </c>
      <c r="AF17" s="474"/>
      <c r="AG17" s="474">
        <f t="shared" si="29"/>
        <v>8326</v>
      </c>
      <c r="AH17" s="474">
        <f t="shared" si="29"/>
        <v>79</v>
      </c>
      <c r="AI17" s="478">
        <f>AJ17+AL17+AK17</f>
        <v>943254.45</v>
      </c>
      <c r="AJ17" s="474">
        <f>M17+Q17+U17+Y17+AC17</f>
        <v>422257.25</v>
      </c>
      <c r="AK17" s="474">
        <f>N17+R17+V17+Z17+AD17</f>
        <v>350803.20000000001</v>
      </c>
      <c r="AL17" s="474">
        <f>O17+S17+W17+AA17+AE17</f>
        <v>170194</v>
      </c>
      <c r="AM17" s="474"/>
      <c r="AQ17" s="251"/>
      <c r="AR17" s="251"/>
      <c r="AS17" s="498"/>
      <c r="AT17" s="498"/>
      <c r="AU17" s="498"/>
      <c r="AV17" s="498"/>
      <c r="AW17" s="498">
        <v>21</v>
      </c>
      <c r="AX17" s="498">
        <v>3</v>
      </c>
      <c r="AY17" s="498"/>
      <c r="AZ17" s="498"/>
      <c r="BA17" s="498"/>
      <c r="BB17" s="498"/>
      <c r="BC17" s="498"/>
    </row>
    <row r="18" spans="1:55" s="496" customFormat="1" ht="13.95" customHeight="1" x14ac:dyDescent="0.3">
      <c r="A18" s="501">
        <v>1</v>
      </c>
      <c r="B18" s="502" t="s">
        <v>29</v>
      </c>
      <c r="C18" s="503">
        <f t="shared" ref="C18" si="30">SUM(C19:C26)</f>
        <v>81</v>
      </c>
      <c r="D18" s="504">
        <f t="shared" ref="D18:AH26" si="31">D73+D127</f>
        <v>0</v>
      </c>
      <c r="E18" s="504">
        <f t="shared" si="31"/>
        <v>131.25</v>
      </c>
      <c r="F18" s="504">
        <f t="shared" si="31"/>
        <v>72</v>
      </c>
      <c r="G18" s="504">
        <f t="shared" si="31"/>
        <v>0</v>
      </c>
      <c r="H18" s="504"/>
      <c r="I18" s="504">
        <f t="shared" si="31"/>
        <v>175</v>
      </c>
      <c r="J18" s="504">
        <f t="shared" si="31"/>
        <v>96</v>
      </c>
      <c r="K18" s="504">
        <f t="shared" si="31"/>
        <v>0</v>
      </c>
      <c r="L18" s="504"/>
      <c r="M18" s="504">
        <f t="shared" si="31"/>
        <v>918.75</v>
      </c>
      <c r="N18" s="504">
        <f t="shared" si="31"/>
        <v>504</v>
      </c>
      <c r="O18" s="504">
        <f t="shared" si="31"/>
        <v>0</v>
      </c>
      <c r="P18" s="504"/>
      <c r="Q18" s="504">
        <f t="shared" si="31"/>
        <v>2406.25</v>
      </c>
      <c r="R18" s="504">
        <f t="shared" si="31"/>
        <v>1320</v>
      </c>
      <c r="S18" s="504">
        <f t="shared" si="31"/>
        <v>100</v>
      </c>
      <c r="T18" s="504"/>
      <c r="U18" s="504">
        <f t="shared" si="31"/>
        <v>3675</v>
      </c>
      <c r="V18" s="504">
        <f t="shared" si="31"/>
        <v>2016</v>
      </c>
      <c r="W18" s="504">
        <f t="shared" si="31"/>
        <v>100</v>
      </c>
      <c r="X18" s="504"/>
      <c r="Y18" s="504">
        <f t="shared" si="31"/>
        <v>4900</v>
      </c>
      <c r="Z18" s="504">
        <f t="shared" si="31"/>
        <v>2688</v>
      </c>
      <c r="AA18" s="504">
        <f t="shared" si="31"/>
        <v>0</v>
      </c>
      <c r="AB18" s="504"/>
      <c r="AC18" s="504">
        <f t="shared" si="31"/>
        <v>5512.5</v>
      </c>
      <c r="AD18" s="504">
        <f t="shared" si="31"/>
        <v>3024</v>
      </c>
      <c r="AE18" s="504">
        <f t="shared" si="31"/>
        <v>1700</v>
      </c>
      <c r="AF18" s="504"/>
      <c r="AG18" s="504">
        <f t="shared" si="31"/>
        <v>79</v>
      </c>
      <c r="AH18" s="504">
        <f t="shared" si="31"/>
        <v>0</v>
      </c>
      <c r="AI18" s="504">
        <f t="shared" ref="AI18:AL18" si="32">SUM(AI19:AI26)</f>
        <v>28864.5</v>
      </c>
      <c r="AJ18" s="504">
        <f t="shared" si="32"/>
        <v>17412.5</v>
      </c>
      <c r="AK18" s="504">
        <f t="shared" si="32"/>
        <v>9552</v>
      </c>
      <c r="AL18" s="504">
        <f t="shared" si="32"/>
        <v>1900</v>
      </c>
      <c r="AM18" s="504"/>
      <c r="AS18" s="498"/>
      <c r="AT18" s="498"/>
      <c r="AU18" s="498"/>
      <c r="AV18" s="498"/>
      <c r="AW18" s="498"/>
      <c r="AX18" s="498"/>
      <c r="AY18" s="498"/>
      <c r="AZ18" s="498"/>
      <c r="BA18" s="251"/>
      <c r="BB18" s="251"/>
      <c r="BC18" s="251"/>
    </row>
    <row r="19" spans="1:55" s="512" customFormat="1" ht="13.95" customHeight="1" x14ac:dyDescent="0.3">
      <c r="A19" s="257"/>
      <c r="B19" s="505" t="s">
        <v>639</v>
      </c>
      <c r="C19" s="506">
        <f>C74+C128</f>
        <v>1</v>
      </c>
      <c r="D19" s="507">
        <f t="shared" si="31"/>
        <v>0</v>
      </c>
      <c r="E19" s="508">
        <f t="shared" si="31"/>
        <v>87.5</v>
      </c>
      <c r="F19" s="509">
        <f>F74+F128</f>
        <v>48</v>
      </c>
      <c r="G19" s="510">
        <f t="shared" si="31"/>
        <v>0</v>
      </c>
      <c r="H19" s="510"/>
      <c r="I19" s="508">
        <f t="shared" si="31"/>
        <v>87.5</v>
      </c>
      <c r="J19" s="509">
        <f t="shared" si="31"/>
        <v>48</v>
      </c>
      <c r="K19" s="508">
        <f t="shared" si="31"/>
        <v>0</v>
      </c>
      <c r="L19" s="508"/>
      <c r="M19" s="508">
        <f t="shared" si="31"/>
        <v>87.5</v>
      </c>
      <c r="N19" s="509">
        <f t="shared" si="31"/>
        <v>48</v>
      </c>
      <c r="O19" s="508">
        <f t="shared" si="31"/>
        <v>0</v>
      </c>
      <c r="P19" s="508"/>
      <c r="Q19" s="508">
        <f t="shared" si="31"/>
        <v>43.75</v>
      </c>
      <c r="R19" s="509">
        <f t="shared" si="31"/>
        <v>24</v>
      </c>
      <c r="S19" s="508">
        <f t="shared" si="31"/>
        <v>100</v>
      </c>
      <c r="T19" s="508"/>
      <c r="U19" s="508">
        <f t="shared" si="31"/>
        <v>0</v>
      </c>
      <c r="V19" s="509">
        <f t="shared" si="31"/>
        <v>0</v>
      </c>
      <c r="W19" s="508">
        <f t="shared" si="31"/>
        <v>0</v>
      </c>
      <c r="X19" s="508"/>
      <c r="Y19" s="508">
        <f t="shared" si="31"/>
        <v>0</v>
      </c>
      <c r="Z19" s="509">
        <f t="shared" si="31"/>
        <v>0</v>
      </c>
      <c r="AA19" s="508">
        <f t="shared" si="31"/>
        <v>0</v>
      </c>
      <c r="AB19" s="508"/>
      <c r="AC19" s="508">
        <f t="shared" si="31"/>
        <v>0</v>
      </c>
      <c r="AD19" s="509">
        <f t="shared" si="31"/>
        <v>0</v>
      </c>
      <c r="AE19" s="508">
        <f t="shared" si="31"/>
        <v>0</v>
      </c>
      <c r="AF19" s="508"/>
      <c r="AG19" s="508"/>
      <c r="AH19" s="508"/>
      <c r="AI19" s="508">
        <f>AJ19+AL19+AK19</f>
        <v>303.25</v>
      </c>
      <c r="AJ19" s="508">
        <f t="shared" ref="AJ19:AL26" si="33">M19+Q19+U19+Y19+AC19</f>
        <v>131.25</v>
      </c>
      <c r="AK19" s="508">
        <f t="shared" si="33"/>
        <v>72</v>
      </c>
      <c r="AL19" s="508">
        <f t="shared" si="33"/>
        <v>100</v>
      </c>
      <c r="AM19" s="508"/>
      <c r="AN19" s="511" t="s">
        <v>640</v>
      </c>
      <c r="AS19" s="513"/>
      <c r="AT19" s="513"/>
      <c r="AU19" s="513"/>
      <c r="AV19" s="513"/>
      <c r="AW19" s="514"/>
      <c r="AX19" s="514"/>
      <c r="AY19" s="514"/>
      <c r="AZ19" s="514"/>
      <c r="BA19" s="514"/>
      <c r="BB19" s="514"/>
      <c r="BC19" s="514"/>
    </row>
    <row r="20" spans="1:55" s="253" customFormat="1" ht="13.95" customHeight="1" x14ac:dyDescent="0.3">
      <c r="A20" s="256"/>
      <c r="B20" s="515" t="s">
        <v>641</v>
      </c>
      <c r="C20" s="506">
        <f t="shared" ref="C20:V35" si="34">C75+C129</f>
        <v>1</v>
      </c>
      <c r="D20" s="268">
        <f t="shared" si="34"/>
        <v>0</v>
      </c>
      <c r="E20" s="485">
        <f t="shared" si="34"/>
        <v>43.75</v>
      </c>
      <c r="F20" s="486">
        <f t="shared" si="34"/>
        <v>24</v>
      </c>
      <c r="G20" s="516">
        <f t="shared" si="34"/>
        <v>0</v>
      </c>
      <c r="H20" s="516"/>
      <c r="I20" s="485">
        <f t="shared" si="34"/>
        <v>87.5</v>
      </c>
      <c r="J20" s="487">
        <f t="shared" si="34"/>
        <v>48</v>
      </c>
      <c r="K20" s="485">
        <f t="shared" si="34"/>
        <v>0</v>
      </c>
      <c r="L20" s="485"/>
      <c r="M20" s="485">
        <f t="shared" si="34"/>
        <v>87.5</v>
      </c>
      <c r="N20" s="487">
        <f t="shared" si="34"/>
        <v>48</v>
      </c>
      <c r="O20" s="517">
        <f t="shared" si="34"/>
        <v>0</v>
      </c>
      <c r="P20" s="517"/>
      <c r="Q20" s="518">
        <f t="shared" si="34"/>
        <v>87.5</v>
      </c>
      <c r="R20" s="487">
        <f t="shared" si="34"/>
        <v>48</v>
      </c>
      <c r="S20" s="517">
        <f t="shared" si="34"/>
        <v>0</v>
      </c>
      <c r="T20" s="517"/>
      <c r="U20" s="518">
        <f t="shared" si="34"/>
        <v>43.75</v>
      </c>
      <c r="V20" s="519">
        <f t="shared" si="34"/>
        <v>24</v>
      </c>
      <c r="W20" s="485">
        <f t="shared" si="31"/>
        <v>100</v>
      </c>
      <c r="X20" s="485"/>
      <c r="Y20" s="518">
        <f t="shared" si="31"/>
        <v>0</v>
      </c>
      <c r="Z20" s="519">
        <f t="shared" si="31"/>
        <v>0</v>
      </c>
      <c r="AA20" s="485">
        <f t="shared" si="31"/>
        <v>0</v>
      </c>
      <c r="AB20" s="485"/>
      <c r="AC20" s="518">
        <f t="shared" si="31"/>
        <v>0</v>
      </c>
      <c r="AD20" s="519">
        <f t="shared" si="31"/>
        <v>0</v>
      </c>
      <c r="AE20" s="485">
        <f t="shared" si="31"/>
        <v>0</v>
      </c>
      <c r="AF20" s="485"/>
      <c r="AG20" s="485"/>
      <c r="AH20" s="485"/>
      <c r="AI20" s="485">
        <f t="shared" ref="AI20:AI26" si="35">AJ20+AL20+AK20</f>
        <v>438.75</v>
      </c>
      <c r="AJ20" s="485">
        <f t="shared" si="33"/>
        <v>218.75</v>
      </c>
      <c r="AK20" s="485">
        <f t="shared" si="33"/>
        <v>120</v>
      </c>
      <c r="AL20" s="485">
        <f t="shared" si="33"/>
        <v>100</v>
      </c>
      <c r="AM20" s="485"/>
      <c r="AN20" s="520" t="s">
        <v>640</v>
      </c>
      <c r="AS20" s="251"/>
      <c r="AT20" s="251"/>
      <c r="AU20" s="251"/>
      <c r="AV20" s="251"/>
      <c r="AW20" s="498"/>
      <c r="AX20" s="498"/>
      <c r="AY20" s="498"/>
      <c r="AZ20" s="498"/>
      <c r="BA20" s="498"/>
      <c r="BB20" s="498"/>
      <c r="BC20" s="498"/>
    </row>
    <row r="21" spans="1:55" s="253" customFormat="1" ht="13.95" customHeight="1" x14ac:dyDescent="0.3">
      <c r="A21" s="521"/>
      <c r="B21" s="515" t="s">
        <v>642</v>
      </c>
      <c r="C21" s="506">
        <f t="shared" si="34"/>
        <v>0</v>
      </c>
      <c r="D21" s="522">
        <f t="shared" si="31"/>
        <v>0</v>
      </c>
      <c r="E21" s="485">
        <f t="shared" si="31"/>
        <v>0</v>
      </c>
      <c r="F21" s="486">
        <f t="shared" si="31"/>
        <v>0</v>
      </c>
      <c r="G21" s="517">
        <f t="shared" si="31"/>
        <v>0</v>
      </c>
      <c r="H21" s="517"/>
      <c r="I21" s="485">
        <f t="shared" si="31"/>
        <v>0</v>
      </c>
      <c r="J21" s="487">
        <f t="shared" si="31"/>
        <v>0</v>
      </c>
      <c r="K21" s="517">
        <f t="shared" si="31"/>
        <v>0</v>
      </c>
      <c r="L21" s="517"/>
      <c r="M21" s="485">
        <f t="shared" si="31"/>
        <v>0</v>
      </c>
      <c r="N21" s="487">
        <f t="shared" si="31"/>
        <v>0</v>
      </c>
      <c r="O21" s="485">
        <f t="shared" si="31"/>
        <v>0</v>
      </c>
      <c r="P21" s="485"/>
      <c r="Q21" s="485">
        <f t="shared" si="31"/>
        <v>0</v>
      </c>
      <c r="R21" s="487">
        <f t="shared" si="31"/>
        <v>0</v>
      </c>
      <c r="S21" s="485">
        <f t="shared" si="31"/>
        <v>0</v>
      </c>
      <c r="T21" s="485"/>
      <c r="U21" s="485">
        <f t="shared" si="31"/>
        <v>0</v>
      </c>
      <c r="V21" s="487">
        <f t="shared" si="31"/>
        <v>0</v>
      </c>
      <c r="W21" s="517">
        <f t="shared" si="31"/>
        <v>0</v>
      </c>
      <c r="X21" s="517"/>
      <c r="Y21" s="518">
        <f t="shared" si="31"/>
        <v>0</v>
      </c>
      <c r="Z21" s="519">
        <f t="shared" si="31"/>
        <v>0</v>
      </c>
      <c r="AA21" s="517">
        <f t="shared" si="31"/>
        <v>0</v>
      </c>
      <c r="AB21" s="517"/>
      <c r="AC21" s="518">
        <f t="shared" si="31"/>
        <v>0</v>
      </c>
      <c r="AD21" s="519">
        <f t="shared" si="31"/>
        <v>0</v>
      </c>
      <c r="AE21" s="517">
        <f t="shared" si="31"/>
        <v>0</v>
      </c>
      <c r="AF21" s="517"/>
      <c r="AG21" s="517"/>
      <c r="AH21" s="517"/>
      <c r="AI21" s="485">
        <f t="shared" si="35"/>
        <v>0</v>
      </c>
      <c r="AJ21" s="485">
        <f t="shared" si="33"/>
        <v>0</v>
      </c>
      <c r="AK21" s="485">
        <f t="shared" si="33"/>
        <v>0</v>
      </c>
      <c r="AL21" s="485">
        <f t="shared" si="33"/>
        <v>0</v>
      </c>
      <c r="AM21" s="485"/>
      <c r="AN21" s="498"/>
      <c r="AT21" s="498"/>
      <c r="AU21" s="498"/>
      <c r="AV21" s="498"/>
      <c r="AW21" s="498"/>
      <c r="AX21" s="498"/>
      <c r="AY21" s="251"/>
      <c r="AZ21" s="251"/>
      <c r="BA21" s="251"/>
      <c r="BB21" s="251"/>
      <c r="BC21" s="251"/>
    </row>
    <row r="22" spans="1:55" s="498" customFormat="1" ht="13.95" customHeight="1" x14ac:dyDescent="0.3">
      <c r="A22" s="523"/>
      <c r="B22" s="515" t="s">
        <v>643</v>
      </c>
      <c r="C22" s="506">
        <f t="shared" si="34"/>
        <v>17</v>
      </c>
      <c r="D22" s="524">
        <f t="shared" si="31"/>
        <v>0</v>
      </c>
      <c r="E22" s="516">
        <f t="shared" si="31"/>
        <v>0</v>
      </c>
      <c r="F22" s="525">
        <f t="shared" si="31"/>
        <v>0</v>
      </c>
      <c r="G22" s="516">
        <f t="shared" si="31"/>
        <v>0</v>
      </c>
      <c r="H22" s="516"/>
      <c r="I22" s="526">
        <f t="shared" si="31"/>
        <v>0</v>
      </c>
      <c r="J22" s="527">
        <f t="shared" si="31"/>
        <v>0</v>
      </c>
      <c r="K22" s="516">
        <f t="shared" si="31"/>
        <v>0</v>
      </c>
      <c r="L22" s="516"/>
      <c r="M22" s="485">
        <f t="shared" si="31"/>
        <v>743.75</v>
      </c>
      <c r="N22" s="487">
        <f t="shared" si="31"/>
        <v>408</v>
      </c>
      <c r="O22" s="516">
        <f t="shared" si="31"/>
        <v>0</v>
      </c>
      <c r="P22" s="516"/>
      <c r="Q22" s="485">
        <f t="shared" si="31"/>
        <v>1487.5</v>
      </c>
      <c r="R22" s="487">
        <f t="shared" si="31"/>
        <v>816</v>
      </c>
      <c r="S22" s="516">
        <f t="shared" si="31"/>
        <v>0</v>
      </c>
      <c r="T22" s="516"/>
      <c r="U22" s="485">
        <f t="shared" si="31"/>
        <v>1487.5</v>
      </c>
      <c r="V22" s="487">
        <f t="shared" si="31"/>
        <v>816</v>
      </c>
      <c r="W22" s="485">
        <f t="shared" si="31"/>
        <v>0</v>
      </c>
      <c r="X22" s="485"/>
      <c r="Y22" s="485">
        <f t="shared" si="31"/>
        <v>1487.5</v>
      </c>
      <c r="Z22" s="487">
        <f t="shared" si="31"/>
        <v>816</v>
      </c>
      <c r="AA22" s="517">
        <f t="shared" si="31"/>
        <v>0</v>
      </c>
      <c r="AB22" s="517"/>
      <c r="AC22" s="526">
        <f t="shared" si="31"/>
        <v>743.75</v>
      </c>
      <c r="AD22" s="527">
        <f t="shared" si="31"/>
        <v>408</v>
      </c>
      <c r="AE22" s="516">
        <f t="shared" si="31"/>
        <v>1700</v>
      </c>
      <c r="AF22" s="516"/>
      <c r="AG22" s="516">
        <f t="shared" ref="AG22:AH26" si="36">C22</f>
        <v>17</v>
      </c>
      <c r="AH22" s="516">
        <f t="shared" si="36"/>
        <v>0</v>
      </c>
      <c r="AI22" s="485">
        <f t="shared" si="35"/>
        <v>10914</v>
      </c>
      <c r="AJ22" s="485">
        <f t="shared" si="33"/>
        <v>5950</v>
      </c>
      <c r="AK22" s="485">
        <f t="shared" si="33"/>
        <v>3264</v>
      </c>
      <c r="AL22" s="485">
        <f t="shared" si="33"/>
        <v>1700</v>
      </c>
      <c r="AM22" s="485"/>
      <c r="AN22" s="251"/>
      <c r="AT22" s="251"/>
      <c r="AU22" s="251"/>
      <c r="AV22" s="251"/>
      <c r="AW22" s="251"/>
      <c r="AX22" s="251"/>
    </row>
    <row r="23" spans="1:55" ht="13.95" customHeight="1" x14ac:dyDescent="0.3">
      <c r="A23" s="521"/>
      <c r="B23" s="515" t="s">
        <v>644</v>
      </c>
      <c r="C23" s="506">
        <f t="shared" si="34"/>
        <v>18</v>
      </c>
      <c r="D23" s="522">
        <f t="shared" si="31"/>
        <v>0</v>
      </c>
      <c r="E23" s="517">
        <f t="shared" si="31"/>
        <v>0</v>
      </c>
      <c r="F23" s="486">
        <f t="shared" si="31"/>
        <v>0</v>
      </c>
      <c r="G23" s="517">
        <f t="shared" si="31"/>
        <v>0</v>
      </c>
      <c r="H23" s="517"/>
      <c r="I23" s="518">
        <f t="shared" si="31"/>
        <v>0</v>
      </c>
      <c r="J23" s="519">
        <f t="shared" si="31"/>
        <v>0</v>
      </c>
      <c r="K23" s="517">
        <f t="shared" si="31"/>
        <v>0</v>
      </c>
      <c r="L23" s="517"/>
      <c r="M23" s="518">
        <f t="shared" si="31"/>
        <v>0</v>
      </c>
      <c r="N23" s="519">
        <f t="shared" si="31"/>
        <v>0</v>
      </c>
      <c r="O23" s="517">
        <f t="shared" si="31"/>
        <v>0</v>
      </c>
      <c r="P23" s="517"/>
      <c r="Q23" s="485">
        <f t="shared" si="31"/>
        <v>787.5</v>
      </c>
      <c r="R23" s="519">
        <f t="shared" si="31"/>
        <v>432</v>
      </c>
      <c r="S23" s="517">
        <f t="shared" si="31"/>
        <v>0</v>
      </c>
      <c r="T23" s="517"/>
      <c r="U23" s="485">
        <f t="shared" si="31"/>
        <v>1575</v>
      </c>
      <c r="V23" s="487">
        <f t="shared" si="31"/>
        <v>864</v>
      </c>
      <c r="W23" s="485">
        <f t="shared" si="31"/>
        <v>0</v>
      </c>
      <c r="X23" s="485"/>
      <c r="Y23" s="485">
        <f t="shared" si="31"/>
        <v>1575</v>
      </c>
      <c r="Z23" s="487">
        <f t="shared" si="31"/>
        <v>864</v>
      </c>
      <c r="AA23" s="485">
        <f t="shared" si="31"/>
        <v>0</v>
      </c>
      <c r="AB23" s="485"/>
      <c r="AC23" s="485">
        <f t="shared" si="31"/>
        <v>1575</v>
      </c>
      <c r="AD23" s="487">
        <f t="shared" si="31"/>
        <v>864</v>
      </c>
      <c r="AE23" s="528"/>
      <c r="AF23" s="517"/>
      <c r="AG23" s="516">
        <f t="shared" si="36"/>
        <v>18</v>
      </c>
      <c r="AH23" s="516">
        <f t="shared" si="36"/>
        <v>0</v>
      </c>
      <c r="AI23" s="485">
        <f t="shared" si="35"/>
        <v>8536.5</v>
      </c>
      <c r="AJ23" s="485">
        <f t="shared" si="33"/>
        <v>5512.5</v>
      </c>
      <c r="AK23" s="485">
        <f t="shared" si="33"/>
        <v>3024</v>
      </c>
      <c r="AL23" s="485">
        <f t="shared" si="33"/>
        <v>0</v>
      </c>
      <c r="AM23" s="485"/>
      <c r="AS23" s="498"/>
      <c r="AT23" s="498"/>
      <c r="AU23" s="498"/>
      <c r="AV23" s="498"/>
      <c r="AW23" s="498"/>
      <c r="AX23" s="498"/>
      <c r="BA23" s="498"/>
      <c r="BB23" s="498"/>
    </row>
    <row r="24" spans="1:55" s="498" customFormat="1" ht="13.95" customHeight="1" x14ac:dyDescent="0.3">
      <c r="A24" s="523"/>
      <c r="B24" s="515" t="s">
        <v>645</v>
      </c>
      <c r="C24" s="506">
        <f t="shared" si="34"/>
        <v>13</v>
      </c>
      <c r="D24" s="524">
        <f t="shared" si="31"/>
        <v>0</v>
      </c>
      <c r="E24" s="516">
        <f t="shared" si="31"/>
        <v>0</v>
      </c>
      <c r="F24" s="525">
        <f t="shared" si="31"/>
        <v>0</v>
      </c>
      <c r="G24" s="516">
        <f t="shared" si="31"/>
        <v>0</v>
      </c>
      <c r="H24" s="516"/>
      <c r="I24" s="526">
        <f t="shared" si="31"/>
        <v>0</v>
      </c>
      <c r="J24" s="527">
        <f t="shared" si="31"/>
        <v>0</v>
      </c>
      <c r="K24" s="516">
        <f t="shared" si="31"/>
        <v>0</v>
      </c>
      <c r="L24" s="516"/>
      <c r="M24" s="526">
        <f t="shared" si="31"/>
        <v>0</v>
      </c>
      <c r="N24" s="527">
        <f t="shared" si="31"/>
        <v>0</v>
      </c>
      <c r="O24" s="516">
        <f t="shared" si="31"/>
        <v>0</v>
      </c>
      <c r="P24" s="516"/>
      <c r="Q24" s="526">
        <f t="shared" si="31"/>
        <v>0</v>
      </c>
      <c r="R24" s="527">
        <f t="shared" si="31"/>
        <v>0</v>
      </c>
      <c r="S24" s="516">
        <f t="shared" si="31"/>
        <v>0</v>
      </c>
      <c r="T24" s="516"/>
      <c r="U24" s="526">
        <f t="shared" si="31"/>
        <v>568.75</v>
      </c>
      <c r="V24" s="487">
        <f t="shared" si="31"/>
        <v>312</v>
      </c>
      <c r="W24" s="516">
        <f t="shared" si="31"/>
        <v>0</v>
      </c>
      <c r="X24" s="516"/>
      <c r="Y24" s="485">
        <f t="shared" si="31"/>
        <v>1137.5</v>
      </c>
      <c r="Z24" s="487">
        <f t="shared" si="31"/>
        <v>624</v>
      </c>
      <c r="AA24" s="516">
        <f t="shared" si="31"/>
        <v>0</v>
      </c>
      <c r="AB24" s="516"/>
      <c r="AC24" s="485">
        <f t="shared" si="31"/>
        <v>1137.5</v>
      </c>
      <c r="AD24" s="487">
        <f t="shared" si="31"/>
        <v>624</v>
      </c>
      <c r="AE24" s="528"/>
      <c r="AF24" s="517"/>
      <c r="AG24" s="516">
        <f t="shared" si="36"/>
        <v>13</v>
      </c>
      <c r="AH24" s="516">
        <f t="shared" si="36"/>
        <v>0</v>
      </c>
      <c r="AI24" s="485">
        <f t="shared" si="35"/>
        <v>4403.75</v>
      </c>
      <c r="AJ24" s="485">
        <f t="shared" si="33"/>
        <v>2843.75</v>
      </c>
      <c r="AK24" s="485">
        <f t="shared" si="33"/>
        <v>1560</v>
      </c>
      <c r="AL24" s="485">
        <f t="shared" si="33"/>
        <v>0</v>
      </c>
      <c r="AM24" s="485"/>
      <c r="AN24" s="251"/>
      <c r="AO24" s="251"/>
      <c r="AP24" s="251"/>
      <c r="AS24" s="251"/>
      <c r="AT24" s="251"/>
      <c r="AU24" s="251"/>
      <c r="AV24" s="251"/>
      <c r="AW24" s="251"/>
      <c r="AX24" s="251"/>
    </row>
    <row r="25" spans="1:55" ht="13.95" customHeight="1" x14ac:dyDescent="0.3">
      <c r="A25" s="521"/>
      <c r="B25" s="515" t="s">
        <v>646</v>
      </c>
      <c r="C25" s="506">
        <f t="shared" si="34"/>
        <v>16</v>
      </c>
      <c r="D25" s="522">
        <f t="shared" si="31"/>
        <v>0</v>
      </c>
      <c r="E25" s="517">
        <f t="shared" si="31"/>
        <v>0</v>
      </c>
      <c r="F25" s="486">
        <f t="shared" si="31"/>
        <v>0</v>
      </c>
      <c r="G25" s="517">
        <f t="shared" si="31"/>
        <v>0</v>
      </c>
      <c r="H25" s="517"/>
      <c r="I25" s="518">
        <f t="shared" si="31"/>
        <v>0</v>
      </c>
      <c r="J25" s="519">
        <f t="shared" si="31"/>
        <v>0</v>
      </c>
      <c r="K25" s="517">
        <f t="shared" si="31"/>
        <v>0</v>
      </c>
      <c r="L25" s="517"/>
      <c r="M25" s="518">
        <f t="shared" si="31"/>
        <v>0</v>
      </c>
      <c r="N25" s="519">
        <f t="shared" si="31"/>
        <v>0</v>
      </c>
      <c r="O25" s="517">
        <f t="shared" si="31"/>
        <v>0</v>
      </c>
      <c r="P25" s="517"/>
      <c r="Q25" s="518">
        <f t="shared" si="31"/>
        <v>0</v>
      </c>
      <c r="R25" s="519">
        <f t="shared" si="31"/>
        <v>0</v>
      </c>
      <c r="S25" s="517">
        <f t="shared" si="31"/>
        <v>0</v>
      </c>
      <c r="T25" s="517"/>
      <c r="U25" s="518">
        <f t="shared" si="31"/>
        <v>0</v>
      </c>
      <c r="V25" s="519">
        <f t="shared" si="31"/>
        <v>0</v>
      </c>
      <c r="W25" s="517">
        <f t="shared" si="31"/>
        <v>0</v>
      </c>
      <c r="X25" s="517"/>
      <c r="Y25" s="485">
        <f t="shared" si="31"/>
        <v>700</v>
      </c>
      <c r="Z25" s="487">
        <f t="shared" si="31"/>
        <v>384</v>
      </c>
      <c r="AA25" s="516">
        <f t="shared" si="31"/>
        <v>0</v>
      </c>
      <c r="AB25" s="516"/>
      <c r="AC25" s="485">
        <f t="shared" si="31"/>
        <v>1400</v>
      </c>
      <c r="AD25" s="487">
        <f t="shared" si="31"/>
        <v>768</v>
      </c>
      <c r="AE25" s="528"/>
      <c r="AF25" s="517"/>
      <c r="AG25" s="516">
        <f t="shared" si="36"/>
        <v>16</v>
      </c>
      <c r="AH25" s="516">
        <f t="shared" si="36"/>
        <v>0</v>
      </c>
      <c r="AI25" s="485">
        <f t="shared" si="35"/>
        <v>3252</v>
      </c>
      <c r="AJ25" s="485">
        <f t="shared" si="33"/>
        <v>2100</v>
      </c>
      <c r="AK25" s="485">
        <f t="shared" si="33"/>
        <v>1152</v>
      </c>
      <c r="AL25" s="485">
        <f t="shared" si="33"/>
        <v>0</v>
      </c>
      <c r="AM25" s="485"/>
      <c r="AN25" s="498"/>
      <c r="AQ25" s="498"/>
      <c r="AR25" s="498"/>
      <c r="AS25" s="498"/>
      <c r="AT25" s="253"/>
      <c r="AU25" s="253"/>
      <c r="AV25" s="253"/>
      <c r="AW25" s="498"/>
      <c r="AX25" s="498"/>
      <c r="BC25" s="498"/>
    </row>
    <row r="26" spans="1:55" s="498" customFormat="1" ht="13.95" customHeight="1" x14ac:dyDescent="0.3">
      <c r="A26" s="523"/>
      <c r="B26" s="515" t="s">
        <v>647</v>
      </c>
      <c r="C26" s="506">
        <f t="shared" si="34"/>
        <v>15</v>
      </c>
      <c r="D26" s="524">
        <f t="shared" si="31"/>
        <v>0</v>
      </c>
      <c r="E26" s="516">
        <f t="shared" si="31"/>
        <v>0</v>
      </c>
      <c r="F26" s="525">
        <f t="shared" si="31"/>
        <v>0</v>
      </c>
      <c r="G26" s="516">
        <f t="shared" si="31"/>
        <v>0</v>
      </c>
      <c r="H26" s="516"/>
      <c r="I26" s="526">
        <f t="shared" si="31"/>
        <v>0</v>
      </c>
      <c r="J26" s="527">
        <f t="shared" si="31"/>
        <v>0</v>
      </c>
      <c r="K26" s="516">
        <f t="shared" si="31"/>
        <v>0</v>
      </c>
      <c r="L26" s="516"/>
      <c r="M26" s="526">
        <f t="shared" si="31"/>
        <v>0</v>
      </c>
      <c r="N26" s="527">
        <f t="shared" si="31"/>
        <v>0</v>
      </c>
      <c r="O26" s="516">
        <f t="shared" si="31"/>
        <v>0</v>
      </c>
      <c r="P26" s="516"/>
      <c r="Q26" s="526">
        <f t="shared" si="31"/>
        <v>0</v>
      </c>
      <c r="R26" s="527">
        <f t="shared" si="31"/>
        <v>0</v>
      </c>
      <c r="S26" s="516">
        <f t="shared" si="31"/>
        <v>0</v>
      </c>
      <c r="T26" s="516"/>
      <c r="U26" s="526">
        <f t="shared" si="31"/>
        <v>0</v>
      </c>
      <c r="V26" s="527">
        <f t="shared" si="31"/>
        <v>0</v>
      </c>
      <c r="W26" s="516">
        <f t="shared" si="31"/>
        <v>0</v>
      </c>
      <c r="X26" s="516"/>
      <c r="Y26" s="526">
        <f t="shared" si="31"/>
        <v>0</v>
      </c>
      <c r="Z26" s="527">
        <f t="shared" si="31"/>
        <v>0</v>
      </c>
      <c r="AA26" s="516">
        <f t="shared" si="31"/>
        <v>0</v>
      </c>
      <c r="AB26" s="516"/>
      <c r="AC26" s="485">
        <f t="shared" si="31"/>
        <v>656.25</v>
      </c>
      <c r="AD26" s="487">
        <f t="shared" si="31"/>
        <v>360</v>
      </c>
      <c r="AE26" s="528"/>
      <c r="AF26" s="517"/>
      <c r="AG26" s="516">
        <f t="shared" si="36"/>
        <v>15</v>
      </c>
      <c r="AH26" s="516">
        <f t="shared" si="36"/>
        <v>0</v>
      </c>
      <c r="AI26" s="485">
        <f t="shared" si="35"/>
        <v>1016.25</v>
      </c>
      <c r="AJ26" s="485">
        <f t="shared" si="33"/>
        <v>656.25</v>
      </c>
      <c r="AK26" s="485">
        <f t="shared" si="33"/>
        <v>360</v>
      </c>
      <c r="AL26" s="485">
        <f t="shared" si="33"/>
        <v>0</v>
      </c>
      <c r="AM26" s="485"/>
      <c r="AN26" s="251"/>
      <c r="AQ26" s="251"/>
      <c r="AR26" s="251"/>
      <c r="AS26" s="251"/>
      <c r="AT26" s="529"/>
      <c r="AU26" s="529"/>
      <c r="AV26" s="529"/>
      <c r="AW26" s="251"/>
      <c r="AX26" s="251"/>
      <c r="AY26" s="496"/>
      <c r="AZ26" s="496"/>
    </row>
    <row r="27" spans="1:55" ht="13.95" customHeight="1" x14ac:dyDescent="0.3">
      <c r="A27" s="501">
        <v>2</v>
      </c>
      <c r="B27" s="502" t="s">
        <v>30</v>
      </c>
      <c r="C27" s="503">
        <f t="shared" ref="C27:AL27" si="37">SUM(C28:C35)</f>
        <v>837</v>
      </c>
      <c r="D27" s="503">
        <f t="shared" si="37"/>
        <v>16</v>
      </c>
      <c r="E27" s="503">
        <f t="shared" si="37"/>
        <v>3500</v>
      </c>
      <c r="F27" s="503">
        <f t="shared" si="37"/>
        <v>1920</v>
      </c>
      <c r="G27" s="503">
        <f t="shared" si="37"/>
        <v>0</v>
      </c>
      <c r="H27" s="503"/>
      <c r="I27" s="503">
        <f t="shared" si="37"/>
        <v>4900</v>
      </c>
      <c r="J27" s="503">
        <f t="shared" si="37"/>
        <v>2688</v>
      </c>
      <c r="K27" s="503">
        <f t="shared" si="37"/>
        <v>1656</v>
      </c>
      <c r="L27" s="503"/>
      <c r="M27" s="503">
        <f t="shared" si="37"/>
        <v>10325</v>
      </c>
      <c r="N27" s="503">
        <f t="shared" si="37"/>
        <v>5664</v>
      </c>
      <c r="O27" s="503">
        <f t="shared" si="37"/>
        <v>2448</v>
      </c>
      <c r="P27" s="503"/>
      <c r="Q27" s="503">
        <f t="shared" si="37"/>
        <v>21700</v>
      </c>
      <c r="R27" s="503">
        <f t="shared" si="37"/>
        <v>11904</v>
      </c>
      <c r="S27" s="503">
        <f t="shared" si="37"/>
        <v>1584</v>
      </c>
      <c r="T27" s="503"/>
      <c r="U27" s="503">
        <f t="shared" si="37"/>
        <v>27300</v>
      </c>
      <c r="V27" s="503">
        <f t="shared" si="37"/>
        <v>14976</v>
      </c>
      <c r="W27" s="503">
        <f t="shared" si="37"/>
        <v>11628</v>
      </c>
      <c r="X27" s="503"/>
      <c r="Y27" s="503">
        <f t="shared" si="37"/>
        <v>26775</v>
      </c>
      <c r="Z27" s="503">
        <f t="shared" si="37"/>
        <v>14688</v>
      </c>
      <c r="AA27" s="503">
        <f t="shared" si="37"/>
        <v>11232</v>
      </c>
      <c r="AB27" s="503"/>
      <c r="AC27" s="503">
        <f t="shared" si="37"/>
        <v>25943.75</v>
      </c>
      <c r="AD27" s="503">
        <f t="shared" si="37"/>
        <v>14232</v>
      </c>
      <c r="AE27" s="503">
        <f t="shared" si="37"/>
        <v>11196</v>
      </c>
      <c r="AF27" s="503"/>
      <c r="AG27" s="504">
        <f t="shared" si="37"/>
        <v>759</v>
      </c>
      <c r="AH27" s="504">
        <f t="shared" si="37"/>
        <v>14</v>
      </c>
      <c r="AI27" s="504">
        <f t="shared" si="37"/>
        <v>211595.75</v>
      </c>
      <c r="AJ27" s="504">
        <f t="shared" si="37"/>
        <v>112043.75</v>
      </c>
      <c r="AK27" s="504">
        <f t="shared" si="37"/>
        <v>61464</v>
      </c>
      <c r="AL27" s="504">
        <f t="shared" si="37"/>
        <v>38088</v>
      </c>
      <c r="AM27" s="504"/>
      <c r="AN27" s="530">
        <f>'[3]Đao tao dự kien'!E11</f>
        <v>11</v>
      </c>
      <c r="AQ27" s="253"/>
      <c r="AR27" s="253"/>
      <c r="AS27" s="498"/>
      <c r="AT27" s="253"/>
      <c r="AU27" s="253"/>
      <c r="AV27" s="253"/>
      <c r="AW27" s="496"/>
      <c r="AX27" s="496"/>
      <c r="AY27" s="498"/>
      <c r="AZ27" s="498"/>
    </row>
    <row r="28" spans="1:55" s="498" customFormat="1" ht="13.95" customHeight="1" x14ac:dyDescent="0.3">
      <c r="A28" s="521"/>
      <c r="B28" s="515" t="s">
        <v>639</v>
      </c>
      <c r="C28" s="506">
        <f t="shared" si="34"/>
        <v>23</v>
      </c>
      <c r="D28" s="531">
        <f t="shared" si="34"/>
        <v>0</v>
      </c>
      <c r="E28" s="485">
        <f t="shared" si="34"/>
        <v>2012.5</v>
      </c>
      <c r="F28" s="486">
        <f t="shared" si="34"/>
        <v>1104</v>
      </c>
      <c r="G28" s="517">
        <f t="shared" si="34"/>
        <v>0</v>
      </c>
      <c r="H28" s="517"/>
      <c r="I28" s="518">
        <f t="shared" si="34"/>
        <v>1006.25</v>
      </c>
      <c r="J28" s="519">
        <f t="shared" si="34"/>
        <v>552</v>
      </c>
      <c r="K28" s="517">
        <f t="shared" si="34"/>
        <v>1656</v>
      </c>
      <c r="L28" s="517"/>
      <c r="M28" s="518">
        <f t="shared" si="34"/>
        <v>0</v>
      </c>
      <c r="N28" s="519">
        <f t="shared" si="34"/>
        <v>0</v>
      </c>
      <c r="O28" s="517">
        <f t="shared" si="34"/>
        <v>0</v>
      </c>
      <c r="P28" s="517"/>
      <c r="Q28" s="518">
        <f t="shared" si="34"/>
        <v>0</v>
      </c>
      <c r="R28" s="519">
        <f t="shared" si="34"/>
        <v>0</v>
      </c>
      <c r="S28" s="517">
        <f t="shared" si="34"/>
        <v>0</v>
      </c>
      <c r="T28" s="517"/>
      <c r="U28" s="518">
        <f t="shared" si="34"/>
        <v>0</v>
      </c>
      <c r="V28" s="519">
        <f t="shared" si="34"/>
        <v>0</v>
      </c>
      <c r="W28" s="517">
        <f t="shared" ref="W28:AE35" si="38">W83+W137</f>
        <v>0</v>
      </c>
      <c r="X28" s="517"/>
      <c r="Y28" s="518">
        <f t="shared" si="38"/>
        <v>0</v>
      </c>
      <c r="Z28" s="519">
        <f t="shared" si="38"/>
        <v>0</v>
      </c>
      <c r="AA28" s="517">
        <f t="shared" si="38"/>
        <v>0</v>
      </c>
      <c r="AB28" s="517"/>
      <c r="AC28" s="518">
        <f t="shared" si="38"/>
        <v>0</v>
      </c>
      <c r="AD28" s="519">
        <f t="shared" si="38"/>
        <v>0</v>
      </c>
      <c r="AE28" s="517">
        <f t="shared" si="38"/>
        <v>0</v>
      </c>
      <c r="AF28" s="517"/>
      <c r="AG28" s="517"/>
      <c r="AH28" s="517"/>
      <c r="AI28" s="485">
        <f t="shared" ref="AI28:AI35" si="39">AJ28+AL28+AK28</f>
        <v>0</v>
      </c>
      <c r="AJ28" s="485">
        <f t="shared" ref="AJ28:AL35" si="40">M28+Q28+U28+Y28+AC28</f>
        <v>0</v>
      </c>
      <c r="AK28" s="485">
        <f t="shared" si="40"/>
        <v>0</v>
      </c>
      <c r="AL28" s="485">
        <f t="shared" si="40"/>
        <v>0</v>
      </c>
      <c r="AM28" s="485"/>
      <c r="AN28" s="498">
        <v>8</v>
      </c>
      <c r="AS28" s="251"/>
      <c r="AT28" s="251"/>
      <c r="AU28" s="251"/>
      <c r="AV28" s="251"/>
    </row>
    <row r="29" spans="1:55" s="498" customFormat="1" ht="13.95" customHeight="1" x14ac:dyDescent="0.3">
      <c r="A29" s="521"/>
      <c r="B29" s="515" t="s">
        <v>641</v>
      </c>
      <c r="C29" s="506">
        <f t="shared" si="34"/>
        <v>34</v>
      </c>
      <c r="D29" s="531">
        <f t="shared" si="34"/>
        <v>0</v>
      </c>
      <c r="E29" s="485">
        <f t="shared" si="34"/>
        <v>1487.5</v>
      </c>
      <c r="F29" s="486">
        <f t="shared" si="34"/>
        <v>816</v>
      </c>
      <c r="G29" s="517">
        <f t="shared" si="34"/>
        <v>0</v>
      </c>
      <c r="H29" s="517"/>
      <c r="I29" s="518">
        <f t="shared" si="34"/>
        <v>2975</v>
      </c>
      <c r="J29" s="519">
        <f t="shared" si="34"/>
        <v>1632</v>
      </c>
      <c r="K29" s="517">
        <f t="shared" si="34"/>
        <v>0</v>
      </c>
      <c r="L29" s="517"/>
      <c r="M29" s="518">
        <f t="shared" si="34"/>
        <v>1487.5</v>
      </c>
      <c r="N29" s="519">
        <f t="shared" si="34"/>
        <v>816</v>
      </c>
      <c r="O29" s="517">
        <f t="shared" si="34"/>
        <v>2448</v>
      </c>
      <c r="P29" s="517"/>
      <c r="Q29" s="518">
        <f t="shared" si="34"/>
        <v>0</v>
      </c>
      <c r="R29" s="519">
        <f t="shared" si="34"/>
        <v>0</v>
      </c>
      <c r="S29" s="517">
        <f t="shared" si="34"/>
        <v>0</v>
      </c>
      <c r="T29" s="517"/>
      <c r="U29" s="518">
        <f t="shared" si="34"/>
        <v>0</v>
      </c>
      <c r="V29" s="519">
        <f t="shared" si="34"/>
        <v>0</v>
      </c>
      <c r="W29" s="517">
        <f t="shared" si="38"/>
        <v>0</v>
      </c>
      <c r="X29" s="517"/>
      <c r="Y29" s="518">
        <f t="shared" si="38"/>
        <v>0</v>
      </c>
      <c r="Z29" s="519">
        <f t="shared" si="38"/>
        <v>0</v>
      </c>
      <c r="AA29" s="517">
        <f t="shared" si="38"/>
        <v>0</v>
      </c>
      <c r="AB29" s="517"/>
      <c r="AC29" s="518">
        <f t="shared" si="38"/>
        <v>0</v>
      </c>
      <c r="AD29" s="519">
        <f t="shared" si="38"/>
        <v>0</v>
      </c>
      <c r="AE29" s="517">
        <f t="shared" si="38"/>
        <v>0</v>
      </c>
      <c r="AF29" s="517"/>
      <c r="AG29" s="517"/>
      <c r="AH29" s="517"/>
      <c r="AI29" s="485">
        <f t="shared" si="39"/>
        <v>4751.5</v>
      </c>
      <c r="AJ29" s="485">
        <f t="shared" si="40"/>
        <v>1487.5</v>
      </c>
      <c r="AK29" s="485">
        <f t="shared" si="40"/>
        <v>816</v>
      </c>
      <c r="AL29" s="485">
        <f t="shared" si="40"/>
        <v>2448</v>
      </c>
      <c r="AM29" s="485"/>
      <c r="AN29" s="498">
        <v>8</v>
      </c>
      <c r="AS29" s="251"/>
      <c r="AT29" s="251"/>
      <c r="AU29" s="251"/>
      <c r="AV29" s="251"/>
    </row>
    <row r="30" spans="1:55" s="498" customFormat="1" ht="13.95" customHeight="1" x14ac:dyDescent="0.3">
      <c r="A30" s="521"/>
      <c r="B30" s="515" t="s">
        <v>642</v>
      </c>
      <c r="C30" s="506">
        <f t="shared" si="34"/>
        <v>21</v>
      </c>
      <c r="D30" s="531">
        <f t="shared" si="34"/>
        <v>2</v>
      </c>
      <c r="E30" s="532">
        <f t="shared" si="34"/>
        <v>0</v>
      </c>
      <c r="F30" s="533">
        <f t="shared" si="34"/>
        <v>0</v>
      </c>
      <c r="G30" s="532">
        <f t="shared" si="34"/>
        <v>0</v>
      </c>
      <c r="H30" s="532"/>
      <c r="I30" s="485">
        <f t="shared" si="34"/>
        <v>918.75</v>
      </c>
      <c r="J30" s="486">
        <f t="shared" si="34"/>
        <v>504</v>
      </c>
      <c r="K30" s="517">
        <f t="shared" si="34"/>
        <v>0</v>
      </c>
      <c r="L30" s="517"/>
      <c r="M30" s="518">
        <f t="shared" si="34"/>
        <v>1837.5</v>
      </c>
      <c r="N30" s="519">
        <f t="shared" si="34"/>
        <v>1008</v>
      </c>
      <c r="O30" s="517">
        <f t="shared" si="34"/>
        <v>0</v>
      </c>
      <c r="P30" s="517"/>
      <c r="Q30" s="518">
        <f t="shared" si="34"/>
        <v>918.75</v>
      </c>
      <c r="R30" s="519">
        <f t="shared" si="34"/>
        <v>504</v>
      </c>
      <c r="S30" s="517">
        <f t="shared" si="34"/>
        <v>1584</v>
      </c>
      <c r="T30" s="517"/>
      <c r="U30" s="518">
        <f t="shared" si="34"/>
        <v>0</v>
      </c>
      <c r="V30" s="519">
        <f t="shared" si="34"/>
        <v>0</v>
      </c>
      <c r="W30" s="517">
        <f t="shared" si="38"/>
        <v>0</v>
      </c>
      <c r="X30" s="517"/>
      <c r="Y30" s="518">
        <f t="shared" si="38"/>
        <v>0</v>
      </c>
      <c r="Z30" s="519">
        <f t="shared" si="38"/>
        <v>0</v>
      </c>
      <c r="AA30" s="517">
        <f t="shared" si="38"/>
        <v>0</v>
      </c>
      <c r="AB30" s="517"/>
      <c r="AC30" s="518">
        <f t="shared" si="38"/>
        <v>0</v>
      </c>
      <c r="AD30" s="519">
        <f t="shared" si="38"/>
        <v>0</v>
      </c>
      <c r="AE30" s="517">
        <f t="shared" si="38"/>
        <v>0</v>
      </c>
      <c r="AF30" s="517"/>
      <c r="AG30" s="517"/>
      <c r="AH30" s="517"/>
      <c r="AI30" s="485">
        <f t="shared" si="39"/>
        <v>5852.25</v>
      </c>
      <c r="AJ30" s="485">
        <f t="shared" si="40"/>
        <v>2756.25</v>
      </c>
      <c r="AK30" s="485">
        <f t="shared" si="40"/>
        <v>1512</v>
      </c>
      <c r="AL30" s="485">
        <f t="shared" si="40"/>
        <v>1584</v>
      </c>
      <c r="AM30" s="485"/>
      <c r="AN30" s="498">
        <v>12</v>
      </c>
      <c r="AS30" s="253"/>
      <c r="AY30" s="251"/>
      <c r="AZ30" s="251"/>
      <c r="BA30" s="251"/>
      <c r="BB30" s="251"/>
      <c r="BC30" s="251"/>
    </row>
    <row r="31" spans="1:55" s="498" customFormat="1" ht="13.95" customHeight="1" x14ac:dyDescent="0.3">
      <c r="A31" s="523"/>
      <c r="B31" s="515" t="s">
        <v>643</v>
      </c>
      <c r="C31" s="506">
        <f t="shared" si="34"/>
        <v>160</v>
      </c>
      <c r="D31" s="531">
        <f t="shared" si="34"/>
        <v>3</v>
      </c>
      <c r="E31" s="523">
        <f t="shared" si="34"/>
        <v>0</v>
      </c>
      <c r="F31" s="534">
        <f t="shared" si="34"/>
        <v>0</v>
      </c>
      <c r="G31" s="523">
        <f t="shared" si="34"/>
        <v>0</v>
      </c>
      <c r="H31" s="523"/>
      <c r="I31" s="535">
        <f t="shared" si="34"/>
        <v>0</v>
      </c>
      <c r="J31" s="536">
        <f t="shared" si="34"/>
        <v>0</v>
      </c>
      <c r="K31" s="523">
        <f t="shared" si="34"/>
        <v>0</v>
      </c>
      <c r="L31" s="523"/>
      <c r="M31" s="485">
        <f t="shared" si="34"/>
        <v>7000</v>
      </c>
      <c r="N31" s="486">
        <f t="shared" si="34"/>
        <v>3840</v>
      </c>
      <c r="O31" s="517">
        <f t="shared" si="34"/>
        <v>0</v>
      </c>
      <c r="P31" s="517"/>
      <c r="Q31" s="518">
        <f t="shared" si="34"/>
        <v>14000</v>
      </c>
      <c r="R31" s="519">
        <f t="shared" si="34"/>
        <v>7680</v>
      </c>
      <c r="S31" s="517">
        <f t="shared" si="34"/>
        <v>0</v>
      </c>
      <c r="T31" s="517"/>
      <c r="U31" s="526">
        <f t="shared" si="34"/>
        <v>7000</v>
      </c>
      <c r="V31" s="527">
        <f t="shared" si="34"/>
        <v>3840</v>
      </c>
      <c r="W31" s="516">
        <f t="shared" si="38"/>
        <v>11628</v>
      </c>
      <c r="X31" s="516"/>
      <c r="Y31" s="526">
        <f t="shared" si="38"/>
        <v>0</v>
      </c>
      <c r="Z31" s="527">
        <f t="shared" si="38"/>
        <v>0</v>
      </c>
      <c r="AA31" s="516">
        <f t="shared" si="38"/>
        <v>0</v>
      </c>
      <c r="AB31" s="516"/>
      <c r="AC31" s="526">
        <f t="shared" si="38"/>
        <v>0</v>
      </c>
      <c r="AD31" s="527">
        <f t="shared" si="38"/>
        <v>0</v>
      </c>
      <c r="AE31" s="517">
        <f t="shared" si="38"/>
        <v>0</v>
      </c>
      <c r="AF31" s="517"/>
      <c r="AG31" s="516">
        <f t="shared" ref="AG31:AH35" si="41">C31</f>
        <v>160</v>
      </c>
      <c r="AH31" s="516">
        <f t="shared" si="41"/>
        <v>3</v>
      </c>
      <c r="AI31" s="485">
        <f t="shared" si="39"/>
        <v>54988</v>
      </c>
      <c r="AJ31" s="485">
        <f t="shared" si="40"/>
        <v>28000</v>
      </c>
      <c r="AK31" s="485">
        <f t="shared" si="40"/>
        <v>15360</v>
      </c>
      <c r="AL31" s="485">
        <f t="shared" si="40"/>
        <v>11628</v>
      </c>
      <c r="AM31" s="485"/>
      <c r="AN31" s="498">
        <v>45</v>
      </c>
      <c r="AQ31" s="251"/>
      <c r="AR31" s="251"/>
      <c r="AS31" s="529"/>
      <c r="AT31" s="251"/>
      <c r="AU31" s="251"/>
      <c r="AV31" s="251"/>
      <c r="AW31" s="251"/>
      <c r="AX31" s="251"/>
      <c r="BA31" s="496"/>
      <c r="BB31" s="496"/>
    </row>
    <row r="32" spans="1:55" ht="13.95" customHeight="1" x14ac:dyDescent="0.3">
      <c r="A32" s="521"/>
      <c r="B32" s="515" t="s">
        <v>644</v>
      </c>
      <c r="C32" s="506">
        <f t="shared" si="34"/>
        <v>155</v>
      </c>
      <c r="D32" s="531">
        <f t="shared" si="34"/>
        <v>2</v>
      </c>
      <c r="E32" s="532">
        <f t="shared" si="34"/>
        <v>0</v>
      </c>
      <c r="F32" s="533">
        <f t="shared" si="34"/>
        <v>0</v>
      </c>
      <c r="G32" s="532">
        <f t="shared" si="34"/>
        <v>0</v>
      </c>
      <c r="H32" s="532"/>
      <c r="I32" s="537">
        <f t="shared" si="34"/>
        <v>0</v>
      </c>
      <c r="J32" s="538">
        <f t="shared" si="34"/>
        <v>0</v>
      </c>
      <c r="K32" s="532">
        <f t="shared" si="34"/>
        <v>0</v>
      </c>
      <c r="L32" s="532"/>
      <c r="M32" s="537">
        <f t="shared" si="34"/>
        <v>0</v>
      </c>
      <c r="N32" s="538">
        <f t="shared" si="34"/>
        <v>0</v>
      </c>
      <c r="O32" s="532">
        <f t="shared" si="34"/>
        <v>0</v>
      </c>
      <c r="P32" s="532"/>
      <c r="Q32" s="485">
        <f t="shared" si="34"/>
        <v>6781.25</v>
      </c>
      <c r="R32" s="486">
        <f t="shared" si="34"/>
        <v>3720</v>
      </c>
      <c r="S32" s="517">
        <f t="shared" si="34"/>
        <v>0</v>
      </c>
      <c r="T32" s="517"/>
      <c r="U32" s="518">
        <f t="shared" si="34"/>
        <v>13562.5</v>
      </c>
      <c r="V32" s="519">
        <f t="shared" si="34"/>
        <v>7440</v>
      </c>
      <c r="W32" s="517">
        <f t="shared" si="38"/>
        <v>0</v>
      </c>
      <c r="X32" s="517"/>
      <c r="Y32" s="518">
        <f t="shared" si="38"/>
        <v>6781.25</v>
      </c>
      <c r="Z32" s="519">
        <f t="shared" si="38"/>
        <v>3720</v>
      </c>
      <c r="AA32" s="517">
        <f t="shared" si="38"/>
        <v>11232</v>
      </c>
      <c r="AB32" s="517"/>
      <c r="AC32" s="518">
        <f t="shared" si="38"/>
        <v>0</v>
      </c>
      <c r="AD32" s="519">
        <f t="shared" si="38"/>
        <v>0</v>
      </c>
      <c r="AE32" s="517">
        <f t="shared" si="38"/>
        <v>0</v>
      </c>
      <c r="AF32" s="517"/>
      <c r="AG32" s="516">
        <f t="shared" si="41"/>
        <v>155</v>
      </c>
      <c r="AH32" s="516">
        <f t="shared" si="41"/>
        <v>2</v>
      </c>
      <c r="AI32" s="485">
        <f t="shared" si="39"/>
        <v>53237</v>
      </c>
      <c r="AJ32" s="485">
        <f t="shared" si="40"/>
        <v>27125</v>
      </c>
      <c r="AK32" s="485">
        <f t="shared" si="40"/>
        <v>14880</v>
      </c>
      <c r="AL32" s="485">
        <f t="shared" si="40"/>
        <v>11232</v>
      </c>
      <c r="AM32" s="485"/>
      <c r="AN32" s="498">
        <v>32</v>
      </c>
      <c r="AQ32" s="498"/>
      <c r="AR32" s="498"/>
      <c r="AS32" s="253"/>
      <c r="AT32" s="498"/>
      <c r="AU32" s="498"/>
      <c r="AV32" s="498"/>
      <c r="AW32" s="498"/>
      <c r="AX32" s="498"/>
      <c r="BA32" s="498"/>
      <c r="BB32" s="498"/>
    </row>
    <row r="33" spans="1:55" s="498" customFormat="1" ht="13.95" customHeight="1" x14ac:dyDescent="0.3">
      <c r="A33" s="523"/>
      <c r="B33" s="515" t="s">
        <v>645</v>
      </c>
      <c r="C33" s="506">
        <f t="shared" si="34"/>
        <v>154</v>
      </c>
      <c r="D33" s="531">
        <f t="shared" si="34"/>
        <v>3</v>
      </c>
      <c r="E33" s="523">
        <f t="shared" si="34"/>
        <v>0</v>
      </c>
      <c r="F33" s="534">
        <f t="shared" si="34"/>
        <v>0</v>
      </c>
      <c r="G33" s="523">
        <f t="shared" si="34"/>
        <v>0</v>
      </c>
      <c r="H33" s="523"/>
      <c r="I33" s="535">
        <f t="shared" si="34"/>
        <v>0</v>
      </c>
      <c r="J33" s="536">
        <f t="shared" si="34"/>
        <v>0</v>
      </c>
      <c r="K33" s="523">
        <f t="shared" si="34"/>
        <v>0</v>
      </c>
      <c r="L33" s="523"/>
      <c r="M33" s="535">
        <f t="shared" si="34"/>
        <v>0</v>
      </c>
      <c r="N33" s="536">
        <f t="shared" si="34"/>
        <v>0</v>
      </c>
      <c r="O33" s="523">
        <f t="shared" si="34"/>
        <v>0</v>
      </c>
      <c r="P33" s="523"/>
      <c r="Q33" s="535">
        <f t="shared" si="34"/>
        <v>0</v>
      </c>
      <c r="R33" s="536">
        <f t="shared" si="34"/>
        <v>0</v>
      </c>
      <c r="S33" s="523">
        <f t="shared" si="34"/>
        <v>0</v>
      </c>
      <c r="T33" s="523"/>
      <c r="U33" s="485">
        <f t="shared" si="34"/>
        <v>6737.5</v>
      </c>
      <c r="V33" s="486">
        <f t="shared" si="34"/>
        <v>3696</v>
      </c>
      <c r="W33" s="517">
        <f t="shared" si="38"/>
        <v>0</v>
      </c>
      <c r="X33" s="517"/>
      <c r="Y33" s="518">
        <f t="shared" si="38"/>
        <v>13475</v>
      </c>
      <c r="Z33" s="519">
        <f t="shared" si="38"/>
        <v>7392</v>
      </c>
      <c r="AA33" s="517">
        <f t="shared" si="38"/>
        <v>0</v>
      </c>
      <c r="AB33" s="517"/>
      <c r="AC33" s="526">
        <f t="shared" si="38"/>
        <v>6737.5</v>
      </c>
      <c r="AD33" s="527">
        <f t="shared" si="38"/>
        <v>3696</v>
      </c>
      <c r="AE33" s="516">
        <f t="shared" si="38"/>
        <v>11196</v>
      </c>
      <c r="AF33" s="516"/>
      <c r="AG33" s="516">
        <f t="shared" si="41"/>
        <v>154</v>
      </c>
      <c r="AH33" s="516">
        <f t="shared" si="41"/>
        <v>3</v>
      </c>
      <c r="AI33" s="485">
        <f t="shared" si="39"/>
        <v>52930</v>
      </c>
      <c r="AJ33" s="485">
        <f t="shared" si="40"/>
        <v>26950</v>
      </c>
      <c r="AK33" s="485">
        <f t="shared" si="40"/>
        <v>14784</v>
      </c>
      <c r="AL33" s="485">
        <f t="shared" si="40"/>
        <v>11196</v>
      </c>
      <c r="AM33" s="485"/>
      <c r="AN33" s="498">
        <v>32</v>
      </c>
      <c r="AQ33" s="251"/>
      <c r="AR33" s="251"/>
      <c r="AS33" s="251"/>
      <c r="AT33" s="251"/>
      <c r="AU33" s="251"/>
      <c r="AV33" s="251"/>
      <c r="AW33" s="251"/>
      <c r="AX33" s="251"/>
      <c r="BC33" s="496"/>
    </row>
    <row r="34" spans="1:55" ht="13.95" customHeight="1" x14ac:dyDescent="0.3">
      <c r="A34" s="521"/>
      <c r="B34" s="515" t="s">
        <v>646</v>
      </c>
      <c r="C34" s="506">
        <f t="shared" si="34"/>
        <v>149</v>
      </c>
      <c r="D34" s="531">
        <f t="shared" si="34"/>
        <v>4</v>
      </c>
      <c r="E34" s="532">
        <f t="shared" si="34"/>
        <v>0</v>
      </c>
      <c r="F34" s="533">
        <f t="shared" si="34"/>
        <v>0</v>
      </c>
      <c r="G34" s="532">
        <f t="shared" si="34"/>
        <v>0</v>
      </c>
      <c r="H34" s="532"/>
      <c r="I34" s="537">
        <f t="shared" si="34"/>
        <v>0</v>
      </c>
      <c r="J34" s="538">
        <f t="shared" si="34"/>
        <v>0</v>
      </c>
      <c r="K34" s="532">
        <f t="shared" si="34"/>
        <v>0</v>
      </c>
      <c r="L34" s="532"/>
      <c r="M34" s="537">
        <f t="shared" si="34"/>
        <v>0</v>
      </c>
      <c r="N34" s="538">
        <f t="shared" si="34"/>
        <v>0</v>
      </c>
      <c r="O34" s="532">
        <f t="shared" si="34"/>
        <v>0</v>
      </c>
      <c r="P34" s="532"/>
      <c r="Q34" s="537">
        <f t="shared" si="34"/>
        <v>0</v>
      </c>
      <c r="R34" s="538">
        <f t="shared" si="34"/>
        <v>0</v>
      </c>
      <c r="S34" s="532">
        <f t="shared" si="34"/>
        <v>0</v>
      </c>
      <c r="T34" s="532"/>
      <c r="U34" s="537">
        <f t="shared" si="34"/>
        <v>0</v>
      </c>
      <c r="V34" s="538">
        <f t="shared" si="34"/>
        <v>0</v>
      </c>
      <c r="W34" s="532">
        <f t="shared" si="38"/>
        <v>0</v>
      </c>
      <c r="X34" s="532"/>
      <c r="Y34" s="485">
        <f t="shared" si="38"/>
        <v>6518.75</v>
      </c>
      <c r="Z34" s="486">
        <f t="shared" si="38"/>
        <v>3576</v>
      </c>
      <c r="AA34" s="517">
        <f t="shared" si="38"/>
        <v>0</v>
      </c>
      <c r="AB34" s="517"/>
      <c r="AC34" s="518">
        <f t="shared" si="38"/>
        <v>13037.5</v>
      </c>
      <c r="AD34" s="519">
        <f t="shared" si="38"/>
        <v>7152</v>
      </c>
      <c r="AE34" s="528"/>
      <c r="AF34" s="517"/>
      <c r="AG34" s="516">
        <f t="shared" si="41"/>
        <v>149</v>
      </c>
      <c r="AH34" s="516">
        <f t="shared" si="41"/>
        <v>4</v>
      </c>
      <c r="AI34" s="485">
        <f t="shared" si="39"/>
        <v>30284.25</v>
      </c>
      <c r="AJ34" s="485">
        <f t="shared" si="40"/>
        <v>19556.25</v>
      </c>
      <c r="AK34" s="485">
        <f t="shared" si="40"/>
        <v>10728</v>
      </c>
      <c r="AL34" s="485">
        <f t="shared" si="40"/>
        <v>0</v>
      </c>
      <c r="AM34" s="485"/>
      <c r="AN34" s="498">
        <v>24</v>
      </c>
      <c r="AQ34" s="498"/>
      <c r="AR34" s="498"/>
      <c r="AS34" s="498"/>
      <c r="AT34" s="253"/>
      <c r="AU34" s="253"/>
      <c r="AV34" s="253"/>
      <c r="AW34" s="498"/>
      <c r="AX34" s="498"/>
      <c r="BC34" s="498"/>
    </row>
    <row r="35" spans="1:55" s="498" customFormat="1" ht="13.95" customHeight="1" x14ac:dyDescent="0.3">
      <c r="A35" s="523"/>
      <c r="B35" s="515" t="s">
        <v>647</v>
      </c>
      <c r="C35" s="506">
        <f t="shared" si="34"/>
        <v>141</v>
      </c>
      <c r="D35" s="531">
        <f t="shared" si="34"/>
        <v>2</v>
      </c>
      <c r="E35" s="523">
        <f t="shared" si="34"/>
        <v>0</v>
      </c>
      <c r="F35" s="534">
        <f t="shared" si="34"/>
        <v>0</v>
      </c>
      <c r="G35" s="523">
        <f t="shared" si="34"/>
        <v>0</v>
      </c>
      <c r="H35" s="523"/>
      <c r="I35" s="535">
        <f t="shared" si="34"/>
        <v>0</v>
      </c>
      <c r="J35" s="536">
        <f t="shared" si="34"/>
        <v>0</v>
      </c>
      <c r="K35" s="523">
        <f t="shared" si="34"/>
        <v>0</v>
      </c>
      <c r="L35" s="523"/>
      <c r="M35" s="535">
        <f t="shared" si="34"/>
        <v>0</v>
      </c>
      <c r="N35" s="536">
        <f t="shared" si="34"/>
        <v>0</v>
      </c>
      <c r="O35" s="523">
        <f t="shared" si="34"/>
        <v>0</v>
      </c>
      <c r="P35" s="523"/>
      <c r="Q35" s="535">
        <f t="shared" si="34"/>
        <v>0</v>
      </c>
      <c r="R35" s="536">
        <f t="shared" si="34"/>
        <v>0</v>
      </c>
      <c r="S35" s="523">
        <f t="shared" si="34"/>
        <v>0</v>
      </c>
      <c r="T35" s="523"/>
      <c r="U35" s="535">
        <f t="shared" si="34"/>
        <v>0</v>
      </c>
      <c r="V35" s="536">
        <f t="shared" si="34"/>
        <v>0</v>
      </c>
      <c r="W35" s="523">
        <f t="shared" si="38"/>
        <v>0</v>
      </c>
      <c r="X35" s="523"/>
      <c r="Y35" s="535">
        <f t="shared" si="38"/>
        <v>0</v>
      </c>
      <c r="Z35" s="536">
        <f t="shared" si="38"/>
        <v>0</v>
      </c>
      <c r="AA35" s="516">
        <f t="shared" si="38"/>
        <v>0</v>
      </c>
      <c r="AB35" s="516"/>
      <c r="AC35" s="485">
        <f t="shared" si="38"/>
        <v>6168.75</v>
      </c>
      <c r="AD35" s="486">
        <f t="shared" si="38"/>
        <v>3384</v>
      </c>
      <c r="AE35" s="528"/>
      <c r="AF35" s="517"/>
      <c r="AG35" s="516">
        <f t="shared" si="41"/>
        <v>141</v>
      </c>
      <c r="AH35" s="516">
        <f t="shared" si="41"/>
        <v>2</v>
      </c>
      <c r="AI35" s="485">
        <f t="shared" si="39"/>
        <v>9552.75</v>
      </c>
      <c r="AJ35" s="485">
        <f t="shared" si="40"/>
        <v>6168.75</v>
      </c>
      <c r="AK35" s="485">
        <f t="shared" si="40"/>
        <v>3384</v>
      </c>
      <c r="AL35" s="485">
        <f t="shared" si="40"/>
        <v>0</v>
      </c>
      <c r="AM35" s="485"/>
      <c r="AN35" s="498">
        <v>21</v>
      </c>
      <c r="AQ35" s="251"/>
      <c r="AR35" s="251"/>
      <c r="AS35" s="251"/>
      <c r="AT35" s="539"/>
      <c r="AU35" s="539"/>
      <c r="AV35" s="539"/>
      <c r="AW35" s="539"/>
      <c r="AX35" s="539"/>
      <c r="AY35" s="539">
        <v>36</v>
      </c>
      <c r="AZ35" s="539">
        <v>36</v>
      </c>
    </row>
    <row r="36" spans="1:55" ht="13.95" customHeight="1" x14ac:dyDescent="0.3">
      <c r="A36" s="501">
        <v>3</v>
      </c>
      <c r="B36" s="502" t="s">
        <v>31</v>
      </c>
      <c r="C36" s="503">
        <f>SUM(C37:C44)</f>
        <v>82</v>
      </c>
      <c r="D36" s="503">
        <f t="shared" ref="D36:AL36" si="42">SUM(D37:D44)</f>
        <v>0</v>
      </c>
      <c r="E36" s="503">
        <f t="shared" si="42"/>
        <v>952</v>
      </c>
      <c r="F36" s="503">
        <f t="shared" si="42"/>
        <v>672</v>
      </c>
      <c r="G36" s="503">
        <f t="shared" si="42"/>
        <v>0</v>
      </c>
      <c r="H36" s="503"/>
      <c r="I36" s="503">
        <f t="shared" si="42"/>
        <v>1462</v>
      </c>
      <c r="J36" s="503">
        <f t="shared" si="42"/>
        <v>1032</v>
      </c>
      <c r="K36" s="503">
        <f t="shared" si="42"/>
        <v>0</v>
      </c>
      <c r="L36" s="503"/>
      <c r="M36" s="503">
        <f t="shared" si="42"/>
        <v>1836</v>
      </c>
      <c r="N36" s="503">
        <f t="shared" si="42"/>
        <v>1296</v>
      </c>
      <c r="O36" s="503">
        <f t="shared" si="42"/>
        <v>567</v>
      </c>
      <c r="P36" s="503"/>
      <c r="Q36" s="503">
        <f t="shared" si="42"/>
        <v>2176</v>
      </c>
      <c r="R36" s="503">
        <f t="shared" si="42"/>
        <v>1536</v>
      </c>
      <c r="S36" s="503">
        <f t="shared" si="42"/>
        <v>630</v>
      </c>
      <c r="T36" s="503"/>
      <c r="U36" s="503">
        <f t="shared" si="42"/>
        <v>2448</v>
      </c>
      <c r="V36" s="503">
        <f t="shared" si="42"/>
        <v>1728</v>
      </c>
      <c r="W36" s="503">
        <f t="shared" si="42"/>
        <v>315</v>
      </c>
      <c r="X36" s="503"/>
      <c r="Y36" s="503">
        <f t="shared" si="42"/>
        <v>2414</v>
      </c>
      <c r="Z36" s="503">
        <f t="shared" si="42"/>
        <v>1704</v>
      </c>
      <c r="AA36" s="503">
        <f t="shared" si="42"/>
        <v>945</v>
      </c>
      <c r="AB36" s="503"/>
      <c r="AC36" s="503">
        <f t="shared" si="42"/>
        <v>2108</v>
      </c>
      <c r="AD36" s="503">
        <f t="shared" si="42"/>
        <v>1488</v>
      </c>
      <c r="AE36" s="503">
        <f t="shared" si="42"/>
        <v>882</v>
      </c>
      <c r="AF36" s="503"/>
      <c r="AG36" s="503">
        <f t="shared" si="42"/>
        <v>58</v>
      </c>
      <c r="AH36" s="503">
        <f t="shared" si="42"/>
        <v>0</v>
      </c>
      <c r="AI36" s="503">
        <f t="shared" si="42"/>
        <v>22073</v>
      </c>
      <c r="AJ36" s="503">
        <f t="shared" si="42"/>
        <v>10982</v>
      </c>
      <c r="AK36" s="503">
        <f t="shared" si="42"/>
        <v>7752</v>
      </c>
      <c r="AL36" s="503">
        <f t="shared" si="42"/>
        <v>3339</v>
      </c>
      <c r="AM36" s="504"/>
      <c r="AN36" s="496"/>
      <c r="AQ36" s="253"/>
      <c r="AR36" s="253"/>
      <c r="AS36" s="498"/>
      <c r="AT36" s="539"/>
      <c r="AU36" s="539"/>
      <c r="AV36" s="539"/>
      <c r="AW36" s="539"/>
      <c r="AX36" s="539"/>
      <c r="AY36" s="539">
        <v>2</v>
      </c>
      <c r="AZ36" s="539">
        <v>2</v>
      </c>
    </row>
    <row r="37" spans="1:55" s="496" customFormat="1" ht="13.95" customHeight="1" x14ac:dyDescent="0.3">
      <c r="A37" s="521"/>
      <c r="B37" s="515" t="s">
        <v>639</v>
      </c>
      <c r="C37" s="506">
        <f t="shared" ref="C37:AE49" si="43">C92+C146</f>
        <v>9</v>
      </c>
      <c r="D37" s="522">
        <f t="shared" si="43"/>
        <v>0</v>
      </c>
      <c r="E37" s="485">
        <f t="shared" si="43"/>
        <v>612</v>
      </c>
      <c r="F37" s="486">
        <f t="shared" si="43"/>
        <v>432</v>
      </c>
      <c r="G37" s="517">
        <f t="shared" si="43"/>
        <v>0</v>
      </c>
      <c r="H37" s="517"/>
      <c r="I37" s="518">
        <f t="shared" si="43"/>
        <v>612</v>
      </c>
      <c r="J37" s="487">
        <f t="shared" si="43"/>
        <v>432</v>
      </c>
      <c r="K37" s="517">
        <f t="shared" si="43"/>
        <v>0</v>
      </c>
      <c r="L37" s="517"/>
      <c r="M37" s="518">
        <f t="shared" si="43"/>
        <v>306</v>
      </c>
      <c r="N37" s="487">
        <f t="shared" si="43"/>
        <v>216</v>
      </c>
      <c r="O37" s="517">
        <f t="shared" si="43"/>
        <v>567</v>
      </c>
      <c r="P37" s="517"/>
      <c r="Q37" s="518">
        <f t="shared" si="43"/>
        <v>0</v>
      </c>
      <c r="R37" s="519">
        <f t="shared" si="43"/>
        <v>0</v>
      </c>
      <c r="S37" s="517">
        <f t="shared" si="43"/>
        <v>0</v>
      </c>
      <c r="T37" s="517"/>
      <c r="U37" s="518">
        <f t="shared" si="43"/>
        <v>0</v>
      </c>
      <c r="V37" s="519">
        <f t="shared" si="43"/>
        <v>0</v>
      </c>
      <c r="W37" s="517">
        <f t="shared" si="43"/>
        <v>0</v>
      </c>
      <c r="X37" s="517"/>
      <c r="Y37" s="518">
        <f t="shared" si="43"/>
        <v>0</v>
      </c>
      <c r="Z37" s="519">
        <f t="shared" si="43"/>
        <v>0</v>
      </c>
      <c r="AA37" s="517">
        <f t="shared" si="43"/>
        <v>0</v>
      </c>
      <c r="AB37" s="517"/>
      <c r="AC37" s="518">
        <f t="shared" si="43"/>
        <v>0</v>
      </c>
      <c r="AD37" s="519">
        <f t="shared" si="43"/>
        <v>0</v>
      </c>
      <c r="AE37" s="517">
        <f t="shared" si="43"/>
        <v>0</v>
      </c>
      <c r="AF37" s="517"/>
      <c r="AG37" s="517"/>
      <c r="AH37" s="517"/>
      <c r="AI37" s="485">
        <f t="shared" ref="AI37:AI44" si="44">AJ37+AL37+AK37</f>
        <v>1089</v>
      </c>
      <c r="AJ37" s="485">
        <f t="shared" ref="AJ37:AL44" si="45">M37+Q37+U37+Y37+AC37</f>
        <v>306</v>
      </c>
      <c r="AK37" s="485">
        <f t="shared" si="45"/>
        <v>216</v>
      </c>
      <c r="AL37" s="485">
        <f t="shared" si="45"/>
        <v>567</v>
      </c>
      <c r="AM37" s="485"/>
      <c r="AN37" s="498"/>
      <c r="AQ37" s="529"/>
      <c r="AR37" s="529"/>
      <c r="AS37" s="251"/>
      <c r="AT37" s="539"/>
      <c r="AU37" s="539"/>
      <c r="AV37" s="539"/>
      <c r="AW37" s="539"/>
      <c r="AX37" s="539"/>
      <c r="AY37" s="539">
        <v>6</v>
      </c>
      <c r="AZ37" s="539">
        <v>6</v>
      </c>
      <c r="BA37" s="498"/>
      <c r="BB37" s="498"/>
      <c r="BC37" s="498"/>
    </row>
    <row r="38" spans="1:55" s="496" customFormat="1" ht="13.95" customHeight="1" x14ac:dyDescent="0.3">
      <c r="A38" s="521"/>
      <c r="B38" s="515" t="s">
        <v>641</v>
      </c>
      <c r="C38" s="506">
        <f t="shared" si="43"/>
        <v>10</v>
      </c>
      <c r="D38" s="522">
        <f t="shared" si="43"/>
        <v>0</v>
      </c>
      <c r="E38" s="485">
        <f t="shared" si="43"/>
        <v>340</v>
      </c>
      <c r="F38" s="486">
        <f t="shared" si="43"/>
        <v>240</v>
      </c>
      <c r="G38" s="517">
        <f t="shared" si="43"/>
        <v>0</v>
      </c>
      <c r="H38" s="517"/>
      <c r="I38" s="518">
        <f t="shared" si="43"/>
        <v>680</v>
      </c>
      <c r="J38" s="487">
        <f t="shared" si="43"/>
        <v>480</v>
      </c>
      <c r="K38" s="517">
        <f t="shared" si="43"/>
        <v>0</v>
      </c>
      <c r="L38" s="517"/>
      <c r="M38" s="518">
        <f t="shared" si="43"/>
        <v>680</v>
      </c>
      <c r="N38" s="487">
        <f t="shared" si="43"/>
        <v>480</v>
      </c>
      <c r="O38" s="517">
        <f t="shared" si="43"/>
        <v>0</v>
      </c>
      <c r="P38" s="517"/>
      <c r="Q38" s="518">
        <f t="shared" si="43"/>
        <v>340</v>
      </c>
      <c r="R38" s="519">
        <f t="shared" si="43"/>
        <v>240</v>
      </c>
      <c r="S38" s="517">
        <f t="shared" si="43"/>
        <v>630</v>
      </c>
      <c r="T38" s="517"/>
      <c r="U38" s="518">
        <f t="shared" si="43"/>
        <v>0</v>
      </c>
      <c r="V38" s="519">
        <f t="shared" si="43"/>
        <v>0</v>
      </c>
      <c r="W38" s="517">
        <f t="shared" si="43"/>
        <v>0</v>
      </c>
      <c r="X38" s="517"/>
      <c r="Y38" s="518">
        <f t="shared" si="43"/>
        <v>0</v>
      </c>
      <c r="Z38" s="519">
        <f t="shared" si="43"/>
        <v>0</v>
      </c>
      <c r="AA38" s="517">
        <f t="shared" si="43"/>
        <v>0</v>
      </c>
      <c r="AB38" s="517"/>
      <c r="AC38" s="518">
        <f t="shared" si="43"/>
        <v>0</v>
      </c>
      <c r="AD38" s="519">
        <f t="shared" si="43"/>
        <v>0</v>
      </c>
      <c r="AE38" s="517">
        <f t="shared" si="43"/>
        <v>0</v>
      </c>
      <c r="AF38" s="517"/>
      <c r="AG38" s="517"/>
      <c r="AH38" s="517"/>
      <c r="AI38" s="485">
        <f t="shared" si="44"/>
        <v>2370</v>
      </c>
      <c r="AJ38" s="485">
        <f t="shared" si="45"/>
        <v>1020</v>
      </c>
      <c r="AK38" s="485">
        <f t="shared" si="45"/>
        <v>720</v>
      </c>
      <c r="AL38" s="485">
        <f t="shared" si="45"/>
        <v>630</v>
      </c>
      <c r="AM38" s="485"/>
      <c r="AN38" s="498"/>
      <c r="AQ38" s="529"/>
      <c r="AR38" s="529"/>
      <c r="AS38" s="251"/>
      <c r="AT38" s="539"/>
      <c r="AU38" s="539"/>
      <c r="AV38" s="539"/>
      <c r="AW38" s="539"/>
      <c r="AX38" s="539"/>
      <c r="AY38" s="539">
        <v>6</v>
      </c>
      <c r="AZ38" s="539">
        <v>6</v>
      </c>
      <c r="BA38" s="498"/>
      <c r="BB38" s="498"/>
      <c r="BC38" s="498"/>
    </row>
    <row r="39" spans="1:55" s="498" customFormat="1" ht="13.95" customHeight="1" x14ac:dyDescent="0.3">
      <c r="A39" s="521"/>
      <c r="B39" s="515" t="s">
        <v>642</v>
      </c>
      <c r="C39" s="506">
        <f t="shared" si="43"/>
        <v>5</v>
      </c>
      <c r="D39" s="524">
        <f t="shared" si="43"/>
        <v>0</v>
      </c>
      <c r="E39" s="532">
        <f t="shared" si="43"/>
        <v>0</v>
      </c>
      <c r="F39" s="533">
        <f t="shared" si="43"/>
        <v>0</v>
      </c>
      <c r="G39" s="532">
        <f t="shared" si="43"/>
        <v>0</v>
      </c>
      <c r="H39" s="532"/>
      <c r="I39" s="485">
        <f t="shared" si="43"/>
        <v>170</v>
      </c>
      <c r="J39" s="486">
        <f t="shared" si="43"/>
        <v>120</v>
      </c>
      <c r="K39" s="517">
        <f t="shared" si="43"/>
        <v>0</v>
      </c>
      <c r="L39" s="517"/>
      <c r="M39" s="518">
        <f t="shared" si="43"/>
        <v>340</v>
      </c>
      <c r="N39" s="487">
        <f t="shared" si="43"/>
        <v>240</v>
      </c>
      <c r="O39" s="517">
        <f t="shared" si="43"/>
        <v>0</v>
      </c>
      <c r="P39" s="517"/>
      <c r="Q39" s="518">
        <f t="shared" si="43"/>
        <v>340</v>
      </c>
      <c r="R39" s="487">
        <f t="shared" si="43"/>
        <v>240</v>
      </c>
      <c r="S39" s="517">
        <f t="shared" si="43"/>
        <v>0</v>
      </c>
      <c r="T39" s="517"/>
      <c r="U39" s="518">
        <f t="shared" si="43"/>
        <v>170</v>
      </c>
      <c r="V39" s="519">
        <f t="shared" si="43"/>
        <v>120</v>
      </c>
      <c r="W39" s="517">
        <f t="shared" si="43"/>
        <v>315</v>
      </c>
      <c r="X39" s="517"/>
      <c r="Y39" s="518">
        <f t="shared" si="43"/>
        <v>0</v>
      </c>
      <c r="Z39" s="519">
        <f t="shared" si="43"/>
        <v>0</v>
      </c>
      <c r="AA39" s="517">
        <f t="shared" si="43"/>
        <v>0</v>
      </c>
      <c r="AB39" s="517"/>
      <c r="AC39" s="518">
        <f t="shared" si="43"/>
        <v>0</v>
      </c>
      <c r="AD39" s="519">
        <f t="shared" si="43"/>
        <v>0</v>
      </c>
      <c r="AE39" s="517">
        <f t="shared" si="43"/>
        <v>0</v>
      </c>
      <c r="AF39" s="517"/>
      <c r="AG39" s="517"/>
      <c r="AH39" s="517"/>
      <c r="AI39" s="485">
        <f t="shared" si="44"/>
        <v>1765</v>
      </c>
      <c r="AJ39" s="485">
        <f t="shared" si="45"/>
        <v>850</v>
      </c>
      <c r="AK39" s="485">
        <f t="shared" si="45"/>
        <v>600</v>
      </c>
      <c r="AL39" s="485">
        <f t="shared" si="45"/>
        <v>315</v>
      </c>
      <c r="AM39" s="485"/>
      <c r="AN39" s="498">
        <v>12</v>
      </c>
      <c r="AQ39" s="253"/>
      <c r="AR39" s="253"/>
      <c r="AS39" s="253"/>
      <c r="AT39" s="539"/>
      <c r="AU39" s="539"/>
      <c r="AV39" s="539"/>
      <c r="AW39" s="539"/>
      <c r="AX39" s="539"/>
      <c r="AY39" s="539">
        <v>10</v>
      </c>
      <c r="AZ39" s="539">
        <v>10</v>
      </c>
      <c r="BA39" s="251"/>
      <c r="BB39" s="251"/>
      <c r="BC39" s="251"/>
    </row>
    <row r="40" spans="1:55" s="498" customFormat="1" ht="13.95" customHeight="1" x14ac:dyDescent="0.3">
      <c r="A40" s="523"/>
      <c r="B40" s="515" t="s">
        <v>643</v>
      </c>
      <c r="C40" s="506">
        <f t="shared" si="43"/>
        <v>15</v>
      </c>
      <c r="D40" s="524">
        <f t="shared" si="43"/>
        <v>0</v>
      </c>
      <c r="E40" s="523">
        <f t="shared" si="43"/>
        <v>0</v>
      </c>
      <c r="F40" s="534">
        <f t="shared" si="43"/>
        <v>0</v>
      </c>
      <c r="G40" s="523">
        <f t="shared" si="43"/>
        <v>0</v>
      </c>
      <c r="H40" s="523"/>
      <c r="I40" s="535">
        <f t="shared" si="43"/>
        <v>0</v>
      </c>
      <c r="J40" s="536">
        <f t="shared" si="43"/>
        <v>0</v>
      </c>
      <c r="K40" s="523">
        <f t="shared" si="43"/>
        <v>0</v>
      </c>
      <c r="L40" s="523"/>
      <c r="M40" s="485">
        <f t="shared" si="43"/>
        <v>510</v>
      </c>
      <c r="N40" s="486">
        <f t="shared" si="43"/>
        <v>360</v>
      </c>
      <c r="O40" s="517">
        <f t="shared" si="43"/>
        <v>0</v>
      </c>
      <c r="P40" s="517"/>
      <c r="Q40" s="518">
        <f t="shared" si="43"/>
        <v>1020</v>
      </c>
      <c r="R40" s="487">
        <f t="shared" si="43"/>
        <v>720</v>
      </c>
      <c r="S40" s="517">
        <f t="shared" si="43"/>
        <v>0</v>
      </c>
      <c r="T40" s="517"/>
      <c r="U40" s="518">
        <f t="shared" si="43"/>
        <v>1020</v>
      </c>
      <c r="V40" s="487">
        <f t="shared" si="43"/>
        <v>720</v>
      </c>
      <c r="W40" s="517">
        <f t="shared" si="43"/>
        <v>0</v>
      </c>
      <c r="X40" s="517"/>
      <c r="Y40" s="526">
        <f t="shared" si="43"/>
        <v>510</v>
      </c>
      <c r="Z40" s="527">
        <f t="shared" si="43"/>
        <v>360</v>
      </c>
      <c r="AA40" s="516">
        <f t="shared" si="43"/>
        <v>945</v>
      </c>
      <c r="AB40" s="516"/>
      <c r="AC40" s="526">
        <f t="shared" si="43"/>
        <v>0</v>
      </c>
      <c r="AD40" s="527">
        <f t="shared" si="43"/>
        <v>0</v>
      </c>
      <c r="AE40" s="516">
        <f t="shared" si="43"/>
        <v>0</v>
      </c>
      <c r="AF40" s="516"/>
      <c r="AG40" s="516">
        <f t="shared" ref="AG40:AH44" si="46">C40</f>
        <v>15</v>
      </c>
      <c r="AH40" s="516">
        <f t="shared" si="46"/>
        <v>0</v>
      </c>
      <c r="AI40" s="485">
        <f t="shared" si="44"/>
        <v>6165</v>
      </c>
      <c r="AJ40" s="485">
        <f t="shared" si="45"/>
        <v>3060</v>
      </c>
      <c r="AK40" s="485">
        <f t="shared" si="45"/>
        <v>2160</v>
      </c>
      <c r="AL40" s="485">
        <f t="shared" si="45"/>
        <v>945</v>
      </c>
      <c r="AM40" s="485"/>
      <c r="AN40" s="498">
        <v>45</v>
      </c>
      <c r="AQ40" s="251"/>
      <c r="AR40" s="251"/>
      <c r="AS40" s="539"/>
      <c r="AT40" s="539"/>
      <c r="AU40" s="539"/>
      <c r="AV40" s="539"/>
      <c r="AW40" s="539"/>
      <c r="AX40" s="539"/>
      <c r="AY40" s="539">
        <v>8</v>
      </c>
      <c r="AZ40" s="539">
        <v>8</v>
      </c>
    </row>
    <row r="41" spans="1:55" ht="13.95" customHeight="1" x14ac:dyDescent="0.3">
      <c r="A41" s="521"/>
      <c r="B41" s="515" t="s">
        <v>644</v>
      </c>
      <c r="C41" s="506">
        <f t="shared" si="43"/>
        <v>14</v>
      </c>
      <c r="D41" s="524">
        <f t="shared" si="43"/>
        <v>0</v>
      </c>
      <c r="E41" s="532">
        <f t="shared" si="43"/>
        <v>0</v>
      </c>
      <c r="F41" s="533">
        <f t="shared" si="43"/>
        <v>0</v>
      </c>
      <c r="G41" s="532">
        <f t="shared" si="43"/>
        <v>0</v>
      </c>
      <c r="H41" s="532"/>
      <c r="I41" s="537">
        <f t="shared" si="43"/>
        <v>0</v>
      </c>
      <c r="J41" s="538">
        <f t="shared" si="43"/>
        <v>0</v>
      </c>
      <c r="K41" s="532">
        <f t="shared" si="43"/>
        <v>0</v>
      </c>
      <c r="L41" s="532"/>
      <c r="M41" s="537">
        <f t="shared" si="43"/>
        <v>0</v>
      </c>
      <c r="N41" s="538">
        <f t="shared" si="43"/>
        <v>0</v>
      </c>
      <c r="O41" s="532">
        <f t="shared" si="43"/>
        <v>0</v>
      </c>
      <c r="P41" s="532"/>
      <c r="Q41" s="485">
        <f t="shared" si="43"/>
        <v>476</v>
      </c>
      <c r="R41" s="486">
        <f t="shared" si="43"/>
        <v>336</v>
      </c>
      <c r="S41" s="517">
        <f t="shared" si="43"/>
        <v>0</v>
      </c>
      <c r="T41" s="517"/>
      <c r="U41" s="518">
        <f t="shared" si="43"/>
        <v>952</v>
      </c>
      <c r="V41" s="487">
        <f t="shared" si="43"/>
        <v>672</v>
      </c>
      <c r="W41" s="517">
        <f t="shared" si="43"/>
        <v>0</v>
      </c>
      <c r="X41" s="517"/>
      <c r="Y41" s="518">
        <f t="shared" si="43"/>
        <v>952</v>
      </c>
      <c r="Z41" s="487">
        <f t="shared" si="43"/>
        <v>672</v>
      </c>
      <c r="AA41" s="517">
        <f t="shared" si="43"/>
        <v>0</v>
      </c>
      <c r="AB41" s="517"/>
      <c r="AC41" s="518">
        <f t="shared" si="43"/>
        <v>476</v>
      </c>
      <c r="AD41" s="519">
        <f t="shared" si="43"/>
        <v>336</v>
      </c>
      <c r="AE41" s="517">
        <f t="shared" si="43"/>
        <v>882</v>
      </c>
      <c r="AF41" s="517"/>
      <c r="AG41" s="516">
        <f t="shared" si="46"/>
        <v>14</v>
      </c>
      <c r="AH41" s="516">
        <f t="shared" si="46"/>
        <v>0</v>
      </c>
      <c r="AI41" s="485">
        <f t="shared" si="44"/>
        <v>5754</v>
      </c>
      <c r="AJ41" s="485">
        <f t="shared" si="45"/>
        <v>2856</v>
      </c>
      <c r="AK41" s="485">
        <f t="shared" si="45"/>
        <v>2016</v>
      </c>
      <c r="AL41" s="485">
        <f t="shared" si="45"/>
        <v>882</v>
      </c>
      <c r="AM41" s="485"/>
      <c r="AN41" s="498">
        <v>32</v>
      </c>
      <c r="AQ41" s="498"/>
      <c r="AR41" s="498"/>
      <c r="AS41" s="539"/>
      <c r="AT41" s="539"/>
      <c r="AU41" s="539"/>
      <c r="AV41" s="539"/>
      <c r="AW41" s="539"/>
      <c r="AX41" s="539"/>
      <c r="AY41" s="539">
        <v>7</v>
      </c>
      <c r="AZ41" s="539">
        <v>7</v>
      </c>
      <c r="BA41" s="498"/>
      <c r="BB41" s="498"/>
    </row>
    <row r="42" spans="1:55" s="498" customFormat="1" ht="13.95" customHeight="1" x14ac:dyDescent="0.3">
      <c r="A42" s="523"/>
      <c r="B42" s="515" t="s">
        <v>645</v>
      </c>
      <c r="C42" s="506">
        <f t="shared" si="43"/>
        <v>9</v>
      </c>
      <c r="D42" s="524">
        <f t="shared" si="43"/>
        <v>0</v>
      </c>
      <c r="E42" s="523">
        <f t="shared" si="43"/>
        <v>0</v>
      </c>
      <c r="F42" s="534">
        <f t="shared" si="43"/>
        <v>0</v>
      </c>
      <c r="G42" s="523">
        <f t="shared" si="43"/>
        <v>0</v>
      </c>
      <c r="H42" s="523"/>
      <c r="I42" s="535">
        <f t="shared" si="43"/>
        <v>0</v>
      </c>
      <c r="J42" s="536">
        <f t="shared" si="43"/>
        <v>0</v>
      </c>
      <c r="K42" s="523">
        <f t="shared" si="43"/>
        <v>0</v>
      </c>
      <c r="L42" s="523"/>
      <c r="M42" s="535">
        <f t="shared" si="43"/>
        <v>0</v>
      </c>
      <c r="N42" s="536">
        <f t="shared" si="43"/>
        <v>0</v>
      </c>
      <c r="O42" s="523">
        <f t="shared" si="43"/>
        <v>0</v>
      </c>
      <c r="P42" s="523"/>
      <c r="Q42" s="535">
        <f t="shared" si="43"/>
        <v>0</v>
      </c>
      <c r="R42" s="536">
        <f t="shared" si="43"/>
        <v>0</v>
      </c>
      <c r="S42" s="523">
        <f t="shared" si="43"/>
        <v>0</v>
      </c>
      <c r="T42" s="523"/>
      <c r="U42" s="485">
        <f t="shared" si="43"/>
        <v>306</v>
      </c>
      <c r="V42" s="486">
        <f t="shared" si="43"/>
        <v>216</v>
      </c>
      <c r="W42" s="517">
        <f t="shared" si="43"/>
        <v>0</v>
      </c>
      <c r="X42" s="517"/>
      <c r="Y42" s="518">
        <f t="shared" si="43"/>
        <v>612</v>
      </c>
      <c r="Z42" s="487">
        <f t="shared" si="43"/>
        <v>432</v>
      </c>
      <c r="AA42" s="517">
        <f t="shared" si="43"/>
        <v>0</v>
      </c>
      <c r="AB42" s="517"/>
      <c r="AC42" s="518">
        <f t="shared" si="43"/>
        <v>612</v>
      </c>
      <c r="AD42" s="487">
        <f t="shared" si="43"/>
        <v>432</v>
      </c>
      <c r="AE42" s="528"/>
      <c r="AF42" s="517"/>
      <c r="AG42" s="516">
        <f t="shared" si="46"/>
        <v>9</v>
      </c>
      <c r="AH42" s="516">
        <f t="shared" si="46"/>
        <v>0</v>
      </c>
      <c r="AI42" s="485">
        <f t="shared" si="44"/>
        <v>2610</v>
      </c>
      <c r="AJ42" s="485">
        <f t="shared" si="45"/>
        <v>1530</v>
      </c>
      <c r="AK42" s="485">
        <f t="shared" si="45"/>
        <v>1080</v>
      </c>
      <c r="AL42" s="485">
        <f t="shared" si="45"/>
        <v>0</v>
      </c>
      <c r="AM42" s="485"/>
      <c r="AN42" s="498">
        <v>32</v>
      </c>
      <c r="AQ42" s="251"/>
      <c r="AR42" s="251"/>
      <c r="AS42" s="539"/>
      <c r="AT42" s="539"/>
      <c r="AU42" s="539"/>
      <c r="AV42" s="539"/>
      <c r="AW42" s="539"/>
      <c r="AX42" s="539"/>
      <c r="AY42" s="539">
        <v>7</v>
      </c>
      <c r="AZ42" s="539">
        <v>7</v>
      </c>
    </row>
    <row r="43" spans="1:55" ht="13.95" customHeight="1" x14ac:dyDescent="0.3">
      <c r="A43" s="521"/>
      <c r="B43" s="515" t="s">
        <v>646</v>
      </c>
      <c r="C43" s="506">
        <f t="shared" si="43"/>
        <v>10</v>
      </c>
      <c r="D43" s="524">
        <f t="shared" si="43"/>
        <v>0</v>
      </c>
      <c r="E43" s="532">
        <f t="shared" si="43"/>
        <v>0</v>
      </c>
      <c r="F43" s="533">
        <f t="shared" si="43"/>
        <v>0</v>
      </c>
      <c r="G43" s="532">
        <f t="shared" si="43"/>
        <v>0</v>
      </c>
      <c r="H43" s="532"/>
      <c r="I43" s="537">
        <f t="shared" si="43"/>
        <v>0</v>
      </c>
      <c r="J43" s="538">
        <f t="shared" si="43"/>
        <v>0</v>
      </c>
      <c r="K43" s="532">
        <f t="shared" si="43"/>
        <v>0</v>
      </c>
      <c r="L43" s="532"/>
      <c r="M43" s="537">
        <f t="shared" si="43"/>
        <v>0</v>
      </c>
      <c r="N43" s="538">
        <f t="shared" si="43"/>
        <v>0</v>
      </c>
      <c r="O43" s="532">
        <f t="shared" si="43"/>
        <v>0</v>
      </c>
      <c r="P43" s="532"/>
      <c r="Q43" s="537">
        <f t="shared" si="43"/>
        <v>0</v>
      </c>
      <c r="R43" s="538">
        <f t="shared" si="43"/>
        <v>0</v>
      </c>
      <c r="S43" s="532">
        <f t="shared" si="43"/>
        <v>0</v>
      </c>
      <c r="T43" s="532"/>
      <c r="U43" s="537">
        <f t="shared" si="43"/>
        <v>0</v>
      </c>
      <c r="V43" s="538">
        <f t="shared" si="43"/>
        <v>0</v>
      </c>
      <c r="W43" s="532">
        <f t="shared" si="43"/>
        <v>0</v>
      </c>
      <c r="X43" s="532"/>
      <c r="Y43" s="485">
        <f t="shared" si="43"/>
        <v>340</v>
      </c>
      <c r="Z43" s="486">
        <f t="shared" si="43"/>
        <v>240</v>
      </c>
      <c r="AA43" s="517">
        <f t="shared" si="43"/>
        <v>0</v>
      </c>
      <c r="AB43" s="517"/>
      <c r="AC43" s="518">
        <f t="shared" si="43"/>
        <v>680</v>
      </c>
      <c r="AD43" s="487">
        <f t="shared" si="43"/>
        <v>480</v>
      </c>
      <c r="AE43" s="528"/>
      <c r="AF43" s="517"/>
      <c r="AG43" s="516">
        <f t="shared" si="46"/>
        <v>10</v>
      </c>
      <c r="AH43" s="516">
        <f t="shared" si="46"/>
        <v>0</v>
      </c>
      <c r="AI43" s="485">
        <f t="shared" si="44"/>
        <v>1740</v>
      </c>
      <c r="AJ43" s="485">
        <f t="shared" si="45"/>
        <v>1020</v>
      </c>
      <c r="AK43" s="485">
        <f t="shared" si="45"/>
        <v>720</v>
      </c>
      <c r="AL43" s="485">
        <f t="shared" si="45"/>
        <v>0</v>
      </c>
      <c r="AM43" s="485"/>
      <c r="AN43" s="498">
        <v>24</v>
      </c>
      <c r="AQ43" s="498"/>
      <c r="AR43" s="498"/>
      <c r="AS43" s="539"/>
      <c r="AT43" s="539"/>
      <c r="AU43" s="539"/>
      <c r="AV43" s="539"/>
      <c r="AW43" s="539"/>
      <c r="AX43" s="539"/>
      <c r="AY43" s="539">
        <v>7</v>
      </c>
      <c r="AZ43" s="539">
        <v>7</v>
      </c>
      <c r="BC43" s="498"/>
    </row>
    <row r="44" spans="1:55" s="498" customFormat="1" ht="13.95" customHeight="1" x14ac:dyDescent="0.3">
      <c r="A44" s="523"/>
      <c r="B44" s="515" t="s">
        <v>647</v>
      </c>
      <c r="C44" s="506">
        <f t="shared" si="43"/>
        <v>10</v>
      </c>
      <c r="D44" s="524">
        <f t="shared" si="43"/>
        <v>0</v>
      </c>
      <c r="E44" s="523">
        <f t="shared" si="43"/>
        <v>0</v>
      </c>
      <c r="F44" s="534">
        <f t="shared" si="43"/>
        <v>0</v>
      </c>
      <c r="G44" s="523">
        <f t="shared" si="43"/>
        <v>0</v>
      </c>
      <c r="H44" s="523"/>
      <c r="I44" s="535">
        <f t="shared" si="43"/>
        <v>0</v>
      </c>
      <c r="J44" s="536">
        <f t="shared" si="43"/>
        <v>0</v>
      </c>
      <c r="K44" s="523">
        <f t="shared" si="43"/>
        <v>0</v>
      </c>
      <c r="L44" s="523"/>
      <c r="M44" s="535">
        <f t="shared" si="43"/>
        <v>0</v>
      </c>
      <c r="N44" s="536">
        <f t="shared" si="43"/>
        <v>0</v>
      </c>
      <c r="O44" s="523">
        <f t="shared" si="43"/>
        <v>0</v>
      </c>
      <c r="P44" s="523"/>
      <c r="Q44" s="535">
        <f t="shared" si="43"/>
        <v>0</v>
      </c>
      <c r="R44" s="536">
        <f t="shared" si="43"/>
        <v>0</v>
      </c>
      <c r="S44" s="523">
        <f t="shared" si="43"/>
        <v>0</v>
      </c>
      <c r="T44" s="523"/>
      <c r="U44" s="535">
        <f t="shared" si="43"/>
        <v>0</v>
      </c>
      <c r="V44" s="536">
        <f t="shared" si="43"/>
        <v>0</v>
      </c>
      <c r="W44" s="523">
        <f t="shared" si="43"/>
        <v>0</v>
      </c>
      <c r="X44" s="523"/>
      <c r="Y44" s="535">
        <f t="shared" si="43"/>
        <v>0</v>
      </c>
      <c r="Z44" s="536">
        <f t="shared" si="43"/>
        <v>0</v>
      </c>
      <c r="AA44" s="516">
        <f t="shared" si="43"/>
        <v>0</v>
      </c>
      <c r="AB44" s="516"/>
      <c r="AC44" s="485">
        <f t="shared" si="43"/>
        <v>340</v>
      </c>
      <c r="AD44" s="486">
        <f t="shared" si="43"/>
        <v>240</v>
      </c>
      <c r="AE44" s="528"/>
      <c r="AF44" s="517"/>
      <c r="AG44" s="516">
        <f t="shared" si="46"/>
        <v>10</v>
      </c>
      <c r="AH44" s="516">
        <f t="shared" si="46"/>
        <v>0</v>
      </c>
      <c r="AI44" s="485">
        <f t="shared" si="44"/>
        <v>580</v>
      </c>
      <c r="AJ44" s="485">
        <f t="shared" si="45"/>
        <v>340</v>
      </c>
      <c r="AK44" s="485">
        <f t="shared" si="45"/>
        <v>240</v>
      </c>
      <c r="AL44" s="485">
        <f t="shared" si="45"/>
        <v>0</v>
      </c>
      <c r="AM44" s="485"/>
      <c r="AN44" s="498">
        <v>21</v>
      </c>
      <c r="AQ44" s="251"/>
      <c r="AR44" s="251"/>
      <c r="AS44" s="539"/>
    </row>
    <row r="45" spans="1:55" ht="13.95" customHeight="1" x14ac:dyDescent="0.3">
      <c r="A45" s="501">
        <v>4</v>
      </c>
      <c r="B45" s="502" t="s">
        <v>32</v>
      </c>
      <c r="C45" s="503">
        <f>SUM(C46:C53)</f>
        <v>2159</v>
      </c>
      <c r="D45" s="503">
        <f t="shared" ref="D45:AL45" si="47">SUM(D46:D53)</f>
        <v>71</v>
      </c>
      <c r="E45" s="503">
        <f t="shared" si="47"/>
        <v>15096</v>
      </c>
      <c r="F45" s="503">
        <f t="shared" si="47"/>
        <v>10656</v>
      </c>
      <c r="G45" s="503">
        <f t="shared" si="47"/>
        <v>0</v>
      </c>
      <c r="H45" s="503"/>
      <c r="I45" s="503">
        <f t="shared" si="47"/>
        <v>26452</v>
      </c>
      <c r="J45" s="503">
        <f t="shared" si="47"/>
        <v>18672</v>
      </c>
      <c r="K45" s="503">
        <f t="shared" si="47"/>
        <v>3648</v>
      </c>
      <c r="L45" s="503"/>
      <c r="M45" s="503">
        <f t="shared" si="47"/>
        <v>32538</v>
      </c>
      <c r="N45" s="503">
        <f t="shared" si="47"/>
        <v>22968</v>
      </c>
      <c r="O45" s="503">
        <f t="shared" si="47"/>
        <v>14016</v>
      </c>
      <c r="P45" s="503"/>
      <c r="Q45" s="503">
        <f t="shared" si="47"/>
        <v>45186</v>
      </c>
      <c r="R45" s="503">
        <f t="shared" si="47"/>
        <v>31896</v>
      </c>
      <c r="S45" s="503">
        <f t="shared" si="47"/>
        <v>5808</v>
      </c>
      <c r="T45" s="503"/>
      <c r="U45" s="503">
        <f t="shared" si="47"/>
        <v>49504</v>
      </c>
      <c r="V45" s="503">
        <f t="shared" si="47"/>
        <v>34944</v>
      </c>
      <c r="W45" s="503">
        <f t="shared" si="47"/>
        <v>21144</v>
      </c>
      <c r="X45" s="503"/>
      <c r="Y45" s="503">
        <f t="shared" si="47"/>
        <v>43860</v>
      </c>
      <c r="Z45" s="503">
        <f t="shared" si="47"/>
        <v>30960</v>
      </c>
      <c r="AA45" s="503">
        <f t="shared" si="47"/>
        <v>17232</v>
      </c>
      <c r="AB45" s="503"/>
      <c r="AC45" s="503">
        <f t="shared" si="47"/>
        <v>40324</v>
      </c>
      <c r="AD45" s="503">
        <f t="shared" si="47"/>
        <v>28464</v>
      </c>
      <c r="AE45" s="503">
        <f t="shared" si="47"/>
        <v>15648</v>
      </c>
      <c r="AF45" s="503"/>
      <c r="AG45" s="503">
        <f t="shared" si="47"/>
        <v>1673</v>
      </c>
      <c r="AH45" s="503">
        <f t="shared" si="47"/>
        <v>65</v>
      </c>
      <c r="AI45" s="503">
        <f t="shared" si="47"/>
        <v>434492</v>
      </c>
      <c r="AJ45" s="503">
        <f t="shared" si="47"/>
        <v>211412</v>
      </c>
      <c r="AK45" s="503">
        <f t="shared" si="47"/>
        <v>149232</v>
      </c>
      <c r="AL45" s="503">
        <f t="shared" si="47"/>
        <v>73848</v>
      </c>
      <c r="AM45" s="504"/>
      <c r="AN45" s="496"/>
      <c r="AQ45" s="253"/>
      <c r="AR45" s="253"/>
      <c r="AS45" s="539"/>
      <c r="AT45" s="498"/>
      <c r="AU45" s="498"/>
      <c r="AV45" s="498"/>
      <c r="AW45" s="498"/>
      <c r="AX45" s="498"/>
      <c r="AY45" s="498"/>
      <c r="AZ45" s="498"/>
    </row>
    <row r="46" spans="1:55" s="498" customFormat="1" ht="13.95" customHeight="1" x14ac:dyDescent="0.3">
      <c r="A46" s="521"/>
      <c r="B46" s="515" t="s">
        <v>639</v>
      </c>
      <c r="C46" s="506">
        <f t="shared" si="43"/>
        <v>184</v>
      </c>
      <c r="D46" s="524">
        <f t="shared" si="43"/>
        <v>0</v>
      </c>
      <c r="E46" s="485">
        <f t="shared" si="43"/>
        <v>8840</v>
      </c>
      <c r="F46" s="486">
        <f t="shared" si="43"/>
        <v>6240</v>
      </c>
      <c r="G46" s="517">
        <f t="shared" si="43"/>
        <v>0</v>
      </c>
      <c r="H46" s="517"/>
      <c r="I46" s="518">
        <f t="shared" si="43"/>
        <v>9928</v>
      </c>
      <c r="J46" s="519">
        <f t="shared" si="43"/>
        <v>7008</v>
      </c>
      <c r="K46" s="517">
        <f t="shared" si="43"/>
        <v>3648</v>
      </c>
      <c r="L46" s="517"/>
      <c r="M46" s="518">
        <f t="shared" si="43"/>
        <v>3672</v>
      </c>
      <c r="N46" s="519">
        <f t="shared" si="43"/>
        <v>2592</v>
      </c>
      <c r="O46" s="517">
        <f t="shared" si="43"/>
        <v>5184</v>
      </c>
      <c r="P46" s="517"/>
      <c r="Q46" s="518">
        <f t="shared" si="43"/>
        <v>0</v>
      </c>
      <c r="R46" s="519">
        <f t="shared" si="43"/>
        <v>0</v>
      </c>
      <c r="S46" s="517">
        <f t="shared" si="43"/>
        <v>0</v>
      </c>
      <c r="T46" s="517"/>
      <c r="U46" s="518">
        <f t="shared" si="43"/>
        <v>0</v>
      </c>
      <c r="V46" s="519">
        <f t="shared" si="43"/>
        <v>0</v>
      </c>
      <c r="W46" s="517">
        <f t="shared" si="43"/>
        <v>0</v>
      </c>
      <c r="X46" s="517"/>
      <c r="Y46" s="518">
        <f t="shared" si="43"/>
        <v>0</v>
      </c>
      <c r="Z46" s="519">
        <f t="shared" si="43"/>
        <v>0</v>
      </c>
      <c r="AA46" s="517">
        <f t="shared" si="43"/>
        <v>0</v>
      </c>
      <c r="AB46" s="517"/>
      <c r="AC46" s="518">
        <f t="shared" si="43"/>
        <v>0</v>
      </c>
      <c r="AD46" s="519">
        <f t="shared" si="43"/>
        <v>0</v>
      </c>
      <c r="AE46" s="517">
        <f t="shared" si="43"/>
        <v>0</v>
      </c>
      <c r="AF46" s="517"/>
      <c r="AG46" s="517"/>
      <c r="AH46" s="517"/>
      <c r="AI46" s="485">
        <f t="shared" ref="AI46:AI53" si="48">AJ46+AL46+AK46</f>
        <v>11448</v>
      </c>
      <c r="AJ46" s="485">
        <f t="shared" ref="AJ46:AL53" si="49">M46+Q46+U46+Y46+AC46</f>
        <v>3672</v>
      </c>
      <c r="AK46" s="485">
        <f t="shared" si="49"/>
        <v>2592</v>
      </c>
      <c r="AL46" s="485">
        <f t="shared" si="49"/>
        <v>5184</v>
      </c>
      <c r="AM46" s="485"/>
      <c r="AN46" s="498" t="s">
        <v>648</v>
      </c>
      <c r="AS46" s="539"/>
      <c r="AT46" s="251"/>
      <c r="AU46" s="251"/>
      <c r="AV46" s="251"/>
    </row>
    <row r="47" spans="1:55" s="498" customFormat="1" ht="13.95" customHeight="1" x14ac:dyDescent="0.3">
      <c r="A47" s="521"/>
      <c r="B47" s="515" t="s">
        <v>641</v>
      </c>
      <c r="C47" s="506">
        <f t="shared" si="43"/>
        <v>184</v>
      </c>
      <c r="D47" s="524">
        <f t="shared" si="43"/>
        <v>0</v>
      </c>
      <c r="E47" s="485">
        <f t="shared" si="43"/>
        <v>6256</v>
      </c>
      <c r="F47" s="486">
        <f t="shared" si="43"/>
        <v>4416</v>
      </c>
      <c r="G47" s="517">
        <f t="shared" si="43"/>
        <v>0</v>
      </c>
      <c r="H47" s="517"/>
      <c r="I47" s="518">
        <f t="shared" si="43"/>
        <v>12512</v>
      </c>
      <c r="J47" s="519">
        <f t="shared" si="43"/>
        <v>8832</v>
      </c>
      <c r="K47" s="517">
        <f t="shared" si="43"/>
        <v>0</v>
      </c>
      <c r="L47" s="517"/>
      <c r="M47" s="518">
        <f t="shared" si="43"/>
        <v>6256</v>
      </c>
      <c r="N47" s="519">
        <f t="shared" si="43"/>
        <v>4416</v>
      </c>
      <c r="O47" s="517">
        <f t="shared" si="43"/>
        <v>8832</v>
      </c>
      <c r="P47" s="517"/>
      <c r="Q47" s="518">
        <f t="shared" si="43"/>
        <v>0</v>
      </c>
      <c r="R47" s="519">
        <f t="shared" si="43"/>
        <v>0</v>
      </c>
      <c r="S47" s="517">
        <f t="shared" si="43"/>
        <v>0</v>
      </c>
      <c r="T47" s="517"/>
      <c r="U47" s="518">
        <f t="shared" si="43"/>
        <v>0</v>
      </c>
      <c r="V47" s="519">
        <f t="shared" si="43"/>
        <v>0</v>
      </c>
      <c r="W47" s="517">
        <f t="shared" si="43"/>
        <v>0</v>
      </c>
      <c r="X47" s="517"/>
      <c r="Y47" s="518">
        <f t="shared" si="43"/>
        <v>0</v>
      </c>
      <c r="Z47" s="519">
        <f t="shared" si="43"/>
        <v>0</v>
      </c>
      <c r="AA47" s="517">
        <f t="shared" si="43"/>
        <v>0</v>
      </c>
      <c r="AB47" s="517"/>
      <c r="AC47" s="518">
        <f t="shared" si="43"/>
        <v>0</v>
      </c>
      <c r="AD47" s="519">
        <f t="shared" si="43"/>
        <v>0</v>
      </c>
      <c r="AE47" s="517">
        <f t="shared" si="43"/>
        <v>0</v>
      </c>
      <c r="AF47" s="517"/>
      <c r="AG47" s="517"/>
      <c r="AH47" s="517"/>
      <c r="AI47" s="485">
        <f t="shared" si="48"/>
        <v>19504</v>
      </c>
      <c r="AJ47" s="485">
        <f t="shared" si="49"/>
        <v>6256</v>
      </c>
      <c r="AK47" s="485">
        <f t="shared" si="49"/>
        <v>4416</v>
      </c>
      <c r="AL47" s="485">
        <f t="shared" si="49"/>
        <v>8832</v>
      </c>
      <c r="AM47" s="485"/>
      <c r="AN47" s="498" t="s">
        <v>648</v>
      </c>
      <c r="AS47" s="539"/>
      <c r="AT47" s="251"/>
      <c r="AU47" s="251"/>
      <c r="AV47" s="251"/>
    </row>
    <row r="48" spans="1:55" s="498" customFormat="1" ht="13.95" customHeight="1" x14ac:dyDescent="0.3">
      <c r="A48" s="521"/>
      <c r="B48" s="515" t="s">
        <v>642</v>
      </c>
      <c r="C48" s="506">
        <f t="shared" si="43"/>
        <v>118</v>
      </c>
      <c r="D48" s="524">
        <f t="shared" si="43"/>
        <v>6</v>
      </c>
      <c r="E48" s="532">
        <f t="shared" si="43"/>
        <v>0</v>
      </c>
      <c r="F48" s="533">
        <f t="shared" si="43"/>
        <v>0</v>
      </c>
      <c r="G48" s="532">
        <f t="shared" si="43"/>
        <v>0</v>
      </c>
      <c r="H48" s="532"/>
      <c r="I48" s="485">
        <f t="shared" si="43"/>
        <v>4012</v>
      </c>
      <c r="J48" s="486">
        <f t="shared" si="43"/>
        <v>2832</v>
      </c>
      <c r="K48" s="517">
        <f t="shared" si="43"/>
        <v>0</v>
      </c>
      <c r="L48" s="517"/>
      <c r="M48" s="518">
        <f t="shared" si="43"/>
        <v>8024</v>
      </c>
      <c r="N48" s="519">
        <f t="shared" si="43"/>
        <v>5664</v>
      </c>
      <c r="O48" s="517">
        <f t="shared" si="43"/>
        <v>0</v>
      </c>
      <c r="P48" s="517"/>
      <c r="Q48" s="518">
        <f t="shared" si="43"/>
        <v>4012</v>
      </c>
      <c r="R48" s="519">
        <f t="shared" si="43"/>
        <v>2832</v>
      </c>
      <c r="S48" s="517">
        <f t="shared" si="43"/>
        <v>5808</v>
      </c>
      <c r="T48" s="517"/>
      <c r="U48" s="518">
        <f t="shared" si="43"/>
        <v>0</v>
      </c>
      <c r="V48" s="519">
        <f t="shared" si="43"/>
        <v>0</v>
      </c>
      <c r="W48" s="517">
        <f t="shared" si="43"/>
        <v>0</v>
      </c>
      <c r="X48" s="517"/>
      <c r="Y48" s="518">
        <f t="shared" si="43"/>
        <v>0</v>
      </c>
      <c r="Z48" s="519">
        <f t="shared" si="43"/>
        <v>0</v>
      </c>
      <c r="AA48" s="517">
        <f t="shared" si="43"/>
        <v>0</v>
      </c>
      <c r="AB48" s="517"/>
      <c r="AC48" s="518">
        <f t="shared" si="43"/>
        <v>0</v>
      </c>
      <c r="AD48" s="519">
        <f t="shared" si="43"/>
        <v>0</v>
      </c>
      <c r="AE48" s="517">
        <f t="shared" si="43"/>
        <v>0</v>
      </c>
      <c r="AF48" s="517"/>
      <c r="AG48" s="517"/>
      <c r="AH48" s="517"/>
      <c r="AI48" s="485">
        <f t="shared" si="48"/>
        <v>26340</v>
      </c>
      <c r="AJ48" s="485">
        <f t="shared" si="49"/>
        <v>12036</v>
      </c>
      <c r="AK48" s="485">
        <f t="shared" si="49"/>
        <v>8496</v>
      </c>
      <c r="AL48" s="485">
        <f t="shared" si="49"/>
        <v>5808</v>
      </c>
      <c r="AM48" s="485"/>
      <c r="AS48" s="539"/>
      <c r="AY48" s="251"/>
      <c r="AZ48" s="251"/>
      <c r="BA48" s="251"/>
      <c r="BB48" s="251"/>
      <c r="BC48" s="251"/>
    </row>
    <row r="49" spans="1:55" s="498" customFormat="1" ht="13.95" customHeight="1" x14ac:dyDescent="0.3">
      <c r="A49" s="523"/>
      <c r="B49" s="515" t="s">
        <v>643</v>
      </c>
      <c r="C49" s="506">
        <f t="shared" si="43"/>
        <v>429</v>
      </c>
      <c r="D49" s="524">
        <f t="shared" si="43"/>
        <v>23</v>
      </c>
      <c r="E49" s="523">
        <f t="shared" si="43"/>
        <v>0</v>
      </c>
      <c r="F49" s="534">
        <f t="shared" si="43"/>
        <v>0</v>
      </c>
      <c r="G49" s="523">
        <f t="shared" si="43"/>
        <v>0</v>
      </c>
      <c r="H49" s="523"/>
      <c r="I49" s="523">
        <f t="shared" ref="I49:AE49" si="50">I104+I158</f>
        <v>0</v>
      </c>
      <c r="J49" s="540">
        <f t="shared" si="50"/>
        <v>0</v>
      </c>
      <c r="K49" s="523">
        <f t="shared" si="50"/>
        <v>0</v>
      </c>
      <c r="L49" s="523"/>
      <c r="M49" s="485">
        <f t="shared" si="50"/>
        <v>14586</v>
      </c>
      <c r="N49" s="486">
        <f t="shared" si="50"/>
        <v>10296</v>
      </c>
      <c r="O49" s="517">
        <f t="shared" si="50"/>
        <v>0</v>
      </c>
      <c r="P49" s="517"/>
      <c r="Q49" s="518">
        <f t="shared" si="50"/>
        <v>29172</v>
      </c>
      <c r="R49" s="519">
        <f t="shared" si="50"/>
        <v>20592</v>
      </c>
      <c r="S49" s="517">
        <f t="shared" si="50"/>
        <v>0</v>
      </c>
      <c r="T49" s="517"/>
      <c r="U49" s="526">
        <f t="shared" si="50"/>
        <v>14586</v>
      </c>
      <c r="V49" s="527">
        <f t="shared" si="50"/>
        <v>10296</v>
      </c>
      <c r="W49" s="516">
        <f t="shared" si="50"/>
        <v>21144</v>
      </c>
      <c r="X49" s="516"/>
      <c r="Y49" s="526">
        <f t="shared" si="50"/>
        <v>0</v>
      </c>
      <c r="Z49" s="527">
        <f t="shared" si="50"/>
        <v>0</v>
      </c>
      <c r="AA49" s="516">
        <f t="shared" si="50"/>
        <v>0</v>
      </c>
      <c r="AB49" s="516"/>
      <c r="AC49" s="526">
        <f t="shared" si="50"/>
        <v>0</v>
      </c>
      <c r="AD49" s="527">
        <f t="shared" si="50"/>
        <v>0</v>
      </c>
      <c r="AE49" s="516">
        <f t="shared" si="50"/>
        <v>0</v>
      </c>
      <c r="AF49" s="516"/>
      <c r="AG49" s="516">
        <f t="shared" ref="AG49:AH53" si="51">C49</f>
        <v>429</v>
      </c>
      <c r="AH49" s="516">
        <f t="shared" si="51"/>
        <v>23</v>
      </c>
      <c r="AI49" s="485">
        <f t="shared" si="48"/>
        <v>120672</v>
      </c>
      <c r="AJ49" s="485">
        <f t="shared" si="49"/>
        <v>58344</v>
      </c>
      <c r="AK49" s="485">
        <f t="shared" si="49"/>
        <v>41184</v>
      </c>
      <c r="AL49" s="485">
        <f t="shared" si="49"/>
        <v>21144</v>
      </c>
      <c r="AM49" s="485"/>
      <c r="AN49" s="251"/>
      <c r="AT49" s="251"/>
      <c r="AU49" s="251"/>
      <c r="AV49" s="251"/>
      <c r="AW49" s="251"/>
      <c r="AX49" s="251"/>
    </row>
    <row r="50" spans="1:55" ht="13.95" customHeight="1" x14ac:dyDescent="0.3">
      <c r="A50" s="521"/>
      <c r="B50" s="515" t="s">
        <v>644</v>
      </c>
      <c r="C50" s="506">
        <f t="shared" ref="C50:AE53" si="52">C105+C159</f>
        <v>353</v>
      </c>
      <c r="D50" s="524">
        <f t="shared" si="52"/>
        <v>12</v>
      </c>
      <c r="E50" s="532">
        <f t="shared" si="52"/>
        <v>0</v>
      </c>
      <c r="F50" s="533">
        <f t="shared" si="52"/>
        <v>0</v>
      </c>
      <c r="G50" s="532">
        <f t="shared" si="52"/>
        <v>0</v>
      </c>
      <c r="H50" s="532"/>
      <c r="I50" s="532">
        <f t="shared" si="52"/>
        <v>0</v>
      </c>
      <c r="J50" s="541">
        <f t="shared" si="52"/>
        <v>0</v>
      </c>
      <c r="K50" s="532">
        <f t="shared" si="52"/>
        <v>0</v>
      </c>
      <c r="L50" s="532"/>
      <c r="M50" s="532">
        <f t="shared" si="52"/>
        <v>0</v>
      </c>
      <c r="N50" s="541">
        <f t="shared" si="52"/>
        <v>0</v>
      </c>
      <c r="O50" s="532">
        <f t="shared" si="52"/>
        <v>0</v>
      </c>
      <c r="P50" s="532"/>
      <c r="Q50" s="485">
        <f t="shared" si="52"/>
        <v>12002</v>
      </c>
      <c r="R50" s="486">
        <f t="shared" si="52"/>
        <v>8472</v>
      </c>
      <c r="S50" s="517">
        <f t="shared" si="52"/>
        <v>0</v>
      </c>
      <c r="T50" s="517"/>
      <c r="U50" s="518">
        <f t="shared" si="52"/>
        <v>24004</v>
      </c>
      <c r="V50" s="519">
        <f t="shared" si="52"/>
        <v>16944</v>
      </c>
      <c r="W50" s="517">
        <f t="shared" si="52"/>
        <v>0</v>
      </c>
      <c r="X50" s="517"/>
      <c r="Y50" s="518">
        <f t="shared" si="52"/>
        <v>12002</v>
      </c>
      <c r="Z50" s="519">
        <f t="shared" si="52"/>
        <v>8472</v>
      </c>
      <c r="AA50" s="517">
        <f t="shared" si="52"/>
        <v>17232</v>
      </c>
      <c r="AB50" s="517"/>
      <c r="AC50" s="518">
        <f t="shared" si="52"/>
        <v>0</v>
      </c>
      <c r="AD50" s="519">
        <f t="shared" si="52"/>
        <v>0</v>
      </c>
      <c r="AE50" s="517">
        <f t="shared" si="52"/>
        <v>0</v>
      </c>
      <c r="AF50" s="517"/>
      <c r="AG50" s="516">
        <f t="shared" si="51"/>
        <v>353</v>
      </c>
      <c r="AH50" s="516">
        <f t="shared" si="51"/>
        <v>12</v>
      </c>
      <c r="AI50" s="485">
        <f t="shared" si="48"/>
        <v>99128</v>
      </c>
      <c r="AJ50" s="485">
        <f t="shared" si="49"/>
        <v>48008</v>
      </c>
      <c r="AK50" s="485">
        <f t="shared" si="49"/>
        <v>33888</v>
      </c>
      <c r="AL50" s="485">
        <f t="shared" si="49"/>
        <v>17232</v>
      </c>
      <c r="AM50" s="485"/>
      <c r="AN50" s="498"/>
      <c r="AQ50" s="498"/>
      <c r="AR50" s="498"/>
      <c r="AS50" s="498"/>
      <c r="AT50" s="498"/>
      <c r="AU50" s="498"/>
      <c r="AV50" s="498"/>
      <c r="AW50" s="498"/>
      <c r="AX50" s="498"/>
      <c r="BA50" s="498"/>
      <c r="BB50" s="498"/>
    </row>
    <row r="51" spans="1:55" s="498" customFormat="1" ht="13.95" customHeight="1" x14ac:dyDescent="0.3">
      <c r="A51" s="523"/>
      <c r="B51" s="515" t="s">
        <v>645</v>
      </c>
      <c r="C51" s="506">
        <f t="shared" si="52"/>
        <v>321</v>
      </c>
      <c r="D51" s="524">
        <f t="shared" si="52"/>
        <v>10</v>
      </c>
      <c r="E51" s="523">
        <f t="shared" si="52"/>
        <v>0</v>
      </c>
      <c r="F51" s="534">
        <f t="shared" si="52"/>
        <v>0</v>
      </c>
      <c r="G51" s="523">
        <f t="shared" si="52"/>
        <v>0</v>
      </c>
      <c r="H51" s="523"/>
      <c r="I51" s="523">
        <f t="shared" si="52"/>
        <v>0</v>
      </c>
      <c r="J51" s="540">
        <f t="shared" si="52"/>
        <v>0</v>
      </c>
      <c r="K51" s="523">
        <f t="shared" si="52"/>
        <v>0</v>
      </c>
      <c r="L51" s="523"/>
      <c r="M51" s="523">
        <f t="shared" si="52"/>
        <v>0</v>
      </c>
      <c r="N51" s="540">
        <f t="shared" si="52"/>
        <v>0</v>
      </c>
      <c r="O51" s="523">
        <f t="shared" si="52"/>
        <v>0</v>
      </c>
      <c r="P51" s="523"/>
      <c r="Q51" s="523">
        <f t="shared" si="52"/>
        <v>0</v>
      </c>
      <c r="R51" s="540">
        <f t="shared" si="52"/>
        <v>0</v>
      </c>
      <c r="S51" s="523">
        <f t="shared" si="52"/>
        <v>0</v>
      </c>
      <c r="T51" s="523"/>
      <c r="U51" s="485">
        <f t="shared" si="52"/>
        <v>10914</v>
      </c>
      <c r="V51" s="486">
        <f t="shared" si="52"/>
        <v>7704</v>
      </c>
      <c r="W51" s="517">
        <f t="shared" si="52"/>
        <v>0</v>
      </c>
      <c r="X51" s="517"/>
      <c r="Y51" s="518">
        <f t="shared" si="52"/>
        <v>21828</v>
      </c>
      <c r="Z51" s="519">
        <f t="shared" si="52"/>
        <v>15408</v>
      </c>
      <c r="AA51" s="517">
        <f t="shared" si="52"/>
        <v>0</v>
      </c>
      <c r="AB51" s="517"/>
      <c r="AC51" s="526">
        <f t="shared" si="52"/>
        <v>10914</v>
      </c>
      <c r="AD51" s="527">
        <f t="shared" si="52"/>
        <v>7704</v>
      </c>
      <c r="AE51" s="516">
        <f t="shared" si="52"/>
        <v>15648</v>
      </c>
      <c r="AF51" s="516"/>
      <c r="AG51" s="516">
        <f t="shared" si="51"/>
        <v>321</v>
      </c>
      <c r="AH51" s="516">
        <f t="shared" si="51"/>
        <v>10</v>
      </c>
      <c r="AI51" s="485">
        <f t="shared" si="48"/>
        <v>90120</v>
      </c>
      <c r="AJ51" s="485">
        <f t="shared" si="49"/>
        <v>43656</v>
      </c>
      <c r="AK51" s="485">
        <f t="shared" si="49"/>
        <v>30816</v>
      </c>
      <c r="AL51" s="485">
        <f t="shared" si="49"/>
        <v>15648</v>
      </c>
      <c r="AM51" s="485"/>
      <c r="AN51" s="251"/>
      <c r="AS51" s="251"/>
      <c r="AT51" s="251"/>
      <c r="AU51" s="251"/>
      <c r="AV51" s="251"/>
      <c r="AW51" s="251"/>
      <c r="AX51" s="251"/>
    </row>
    <row r="52" spans="1:55" ht="13.95" customHeight="1" x14ac:dyDescent="0.3">
      <c r="A52" s="521"/>
      <c r="B52" s="515" t="s">
        <v>646</v>
      </c>
      <c r="C52" s="506">
        <f t="shared" si="52"/>
        <v>295</v>
      </c>
      <c r="D52" s="524">
        <f t="shared" si="52"/>
        <v>11</v>
      </c>
      <c r="E52" s="532">
        <f t="shared" si="52"/>
        <v>0</v>
      </c>
      <c r="F52" s="533">
        <f t="shared" si="52"/>
        <v>0</v>
      </c>
      <c r="G52" s="532">
        <f t="shared" si="52"/>
        <v>0</v>
      </c>
      <c r="H52" s="532"/>
      <c r="I52" s="532">
        <f t="shared" si="52"/>
        <v>0</v>
      </c>
      <c r="J52" s="541">
        <f t="shared" si="52"/>
        <v>0</v>
      </c>
      <c r="K52" s="532">
        <f t="shared" si="52"/>
        <v>0</v>
      </c>
      <c r="L52" s="532"/>
      <c r="M52" s="532">
        <f t="shared" si="52"/>
        <v>0</v>
      </c>
      <c r="N52" s="541">
        <f t="shared" si="52"/>
        <v>0</v>
      </c>
      <c r="O52" s="532">
        <f t="shared" si="52"/>
        <v>0</v>
      </c>
      <c r="P52" s="532"/>
      <c r="Q52" s="532">
        <f t="shared" si="52"/>
        <v>0</v>
      </c>
      <c r="R52" s="541">
        <f t="shared" si="52"/>
        <v>0</v>
      </c>
      <c r="S52" s="532">
        <f t="shared" si="52"/>
        <v>0</v>
      </c>
      <c r="T52" s="532"/>
      <c r="U52" s="532">
        <f t="shared" si="52"/>
        <v>0</v>
      </c>
      <c r="V52" s="541">
        <f t="shared" si="52"/>
        <v>0</v>
      </c>
      <c r="W52" s="532">
        <f t="shared" si="52"/>
        <v>0</v>
      </c>
      <c r="X52" s="532"/>
      <c r="Y52" s="485">
        <f t="shared" si="52"/>
        <v>10030</v>
      </c>
      <c r="Z52" s="486">
        <f t="shared" si="52"/>
        <v>7080</v>
      </c>
      <c r="AA52" s="517">
        <f t="shared" si="52"/>
        <v>0</v>
      </c>
      <c r="AB52" s="517"/>
      <c r="AC52" s="518">
        <f t="shared" si="52"/>
        <v>20060</v>
      </c>
      <c r="AD52" s="519">
        <f t="shared" si="52"/>
        <v>14160</v>
      </c>
      <c r="AE52" s="528"/>
      <c r="AF52" s="517"/>
      <c r="AG52" s="516">
        <f t="shared" si="51"/>
        <v>295</v>
      </c>
      <c r="AH52" s="516">
        <f t="shared" si="51"/>
        <v>11</v>
      </c>
      <c r="AI52" s="485">
        <f t="shared" si="48"/>
        <v>51330</v>
      </c>
      <c r="AJ52" s="485">
        <f t="shared" si="49"/>
        <v>30090</v>
      </c>
      <c r="AK52" s="485">
        <f t="shared" si="49"/>
        <v>21240</v>
      </c>
      <c r="AL52" s="485">
        <f t="shared" si="49"/>
        <v>0</v>
      </c>
      <c r="AM52" s="485"/>
      <c r="AN52" s="498"/>
      <c r="AQ52" s="498"/>
      <c r="AR52" s="498"/>
      <c r="AS52" s="498"/>
      <c r="AT52" s="542">
        <v>1116</v>
      </c>
      <c r="AU52" s="542">
        <v>1056</v>
      </c>
      <c r="AV52" s="542">
        <v>1080</v>
      </c>
      <c r="AW52" s="542">
        <v>1072</v>
      </c>
      <c r="AX52" s="539"/>
      <c r="AY52" s="539">
        <v>7</v>
      </c>
      <c r="AZ52" s="539">
        <v>7</v>
      </c>
      <c r="BC52" s="498"/>
    </row>
    <row r="53" spans="1:55" s="498" customFormat="1" ht="13.95" customHeight="1" x14ac:dyDescent="0.3">
      <c r="A53" s="523"/>
      <c r="B53" s="515" t="s">
        <v>647</v>
      </c>
      <c r="C53" s="506">
        <f t="shared" si="52"/>
        <v>275</v>
      </c>
      <c r="D53" s="524">
        <f t="shared" si="52"/>
        <v>9</v>
      </c>
      <c r="E53" s="523">
        <f t="shared" si="52"/>
        <v>0</v>
      </c>
      <c r="F53" s="534">
        <f t="shared" si="52"/>
        <v>0</v>
      </c>
      <c r="G53" s="523">
        <f t="shared" si="52"/>
        <v>0</v>
      </c>
      <c r="H53" s="523"/>
      <c r="I53" s="523">
        <f t="shared" si="52"/>
        <v>0</v>
      </c>
      <c r="J53" s="540">
        <f t="shared" si="52"/>
        <v>0</v>
      </c>
      <c r="K53" s="523">
        <f t="shared" si="52"/>
        <v>0</v>
      </c>
      <c r="L53" s="523"/>
      <c r="M53" s="523">
        <f t="shared" si="52"/>
        <v>0</v>
      </c>
      <c r="N53" s="540">
        <f t="shared" si="52"/>
        <v>0</v>
      </c>
      <c r="O53" s="523">
        <f t="shared" si="52"/>
        <v>0</v>
      </c>
      <c r="P53" s="523"/>
      <c r="Q53" s="523">
        <f t="shared" si="52"/>
        <v>0</v>
      </c>
      <c r="R53" s="540">
        <f t="shared" si="52"/>
        <v>0</v>
      </c>
      <c r="S53" s="523">
        <f t="shared" si="52"/>
        <v>0</v>
      </c>
      <c r="T53" s="523"/>
      <c r="U53" s="523">
        <f t="shared" si="52"/>
        <v>0</v>
      </c>
      <c r="V53" s="540">
        <f t="shared" si="52"/>
        <v>0</v>
      </c>
      <c r="W53" s="523">
        <f t="shared" si="52"/>
        <v>0</v>
      </c>
      <c r="X53" s="523"/>
      <c r="Y53" s="523">
        <f t="shared" si="52"/>
        <v>0</v>
      </c>
      <c r="Z53" s="540">
        <f t="shared" si="52"/>
        <v>0</v>
      </c>
      <c r="AA53" s="523">
        <f t="shared" si="52"/>
        <v>0</v>
      </c>
      <c r="AB53" s="523"/>
      <c r="AC53" s="485">
        <f t="shared" si="52"/>
        <v>9350</v>
      </c>
      <c r="AD53" s="486">
        <f t="shared" si="52"/>
        <v>6600</v>
      </c>
      <c r="AE53" s="528"/>
      <c r="AF53" s="517"/>
      <c r="AG53" s="516">
        <f t="shared" si="51"/>
        <v>275</v>
      </c>
      <c r="AH53" s="516">
        <f t="shared" si="51"/>
        <v>9</v>
      </c>
      <c r="AI53" s="485">
        <f t="shared" si="48"/>
        <v>15950</v>
      </c>
      <c r="AJ53" s="485">
        <f t="shared" si="49"/>
        <v>9350</v>
      </c>
      <c r="AK53" s="485">
        <f t="shared" si="49"/>
        <v>6600</v>
      </c>
      <c r="AL53" s="485">
        <f t="shared" si="49"/>
        <v>0</v>
      </c>
      <c r="AM53" s="485"/>
      <c r="AN53" s="251"/>
      <c r="AS53" s="251"/>
      <c r="AT53" s="498">
        <v>14</v>
      </c>
      <c r="AU53" s="498">
        <v>7</v>
      </c>
      <c r="AV53" s="498">
        <v>19</v>
      </c>
      <c r="AW53" s="498">
        <v>7</v>
      </c>
      <c r="AX53" s="498">
        <v>18</v>
      </c>
    </row>
    <row r="54" spans="1:55" ht="37.200000000000003" customHeight="1" x14ac:dyDescent="0.3">
      <c r="A54" s="501">
        <v>5</v>
      </c>
      <c r="B54" s="502" t="s">
        <v>34</v>
      </c>
      <c r="C54" s="503">
        <f t="shared" ref="C54:AL54" si="53">SUM(C55:C63)</f>
        <v>375</v>
      </c>
      <c r="D54" s="503">
        <f t="shared" si="53"/>
        <v>0</v>
      </c>
      <c r="E54" s="503">
        <f t="shared" si="53"/>
        <v>2900</v>
      </c>
      <c r="F54" s="503">
        <f t="shared" si="53"/>
        <v>2400</v>
      </c>
      <c r="G54" s="503">
        <f t="shared" si="53"/>
        <v>0</v>
      </c>
      <c r="H54" s="503"/>
      <c r="I54" s="503">
        <f t="shared" si="53"/>
        <v>4031</v>
      </c>
      <c r="J54" s="503">
        <f t="shared" si="53"/>
        <v>3336</v>
      </c>
      <c r="K54" s="503">
        <f t="shared" si="53"/>
        <v>0</v>
      </c>
      <c r="L54" s="503"/>
      <c r="M54" s="503">
        <f t="shared" si="53"/>
        <v>6438</v>
      </c>
      <c r="N54" s="503">
        <f t="shared" si="53"/>
        <v>5328</v>
      </c>
      <c r="O54" s="503">
        <f t="shared" si="53"/>
        <v>324</v>
      </c>
      <c r="P54" s="503"/>
      <c r="Q54" s="503">
        <f t="shared" si="53"/>
        <v>9367</v>
      </c>
      <c r="R54" s="503">
        <f t="shared" si="53"/>
        <v>7752</v>
      </c>
      <c r="S54" s="503">
        <f t="shared" si="53"/>
        <v>729</v>
      </c>
      <c r="T54" s="503"/>
      <c r="U54" s="503">
        <f t="shared" si="53"/>
        <v>11368</v>
      </c>
      <c r="V54" s="503">
        <f t="shared" si="53"/>
        <v>9408</v>
      </c>
      <c r="W54" s="503">
        <f t="shared" si="53"/>
        <v>594</v>
      </c>
      <c r="X54" s="503"/>
      <c r="Y54" s="503">
        <f t="shared" si="53"/>
        <v>13340</v>
      </c>
      <c r="Z54" s="503">
        <f t="shared" si="53"/>
        <v>11040</v>
      </c>
      <c r="AA54" s="503">
        <f t="shared" si="53"/>
        <v>459</v>
      </c>
      <c r="AB54" s="503"/>
      <c r="AC54" s="503">
        <f t="shared" si="53"/>
        <v>13514</v>
      </c>
      <c r="AD54" s="503">
        <f t="shared" si="53"/>
        <v>11184</v>
      </c>
      <c r="AE54" s="503">
        <f t="shared" si="53"/>
        <v>2106</v>
      </c>
      <c r="AF54" s="503"/>
      <c r="AG54" s="504">
        <f t="shared" si="53"/>
        <v>297</v>
      </c>
      <c r="AH54" s="504">
        <f t="shared" si="53"/>
        <v>0</v>
      </c>
      <c r="AI54" s="504">
        <f t="shared" si="53"/>
        <v>102951</v>
      </c>
      <c r="AJ54" s="504">
        <f t="shared" si="53"/>
        <v>54027</v>
      </c>
      <c r="AK54" s="504">
        <f t="shared" si="53"/>
        <v>44712</v>
      </c>
      <c r="AL54" s="504">
        <f t="shared" si="53"/>
        <v>4212</v>
      </c>
      <c r="AM54" s="504"/>
      <c r="AN54" s="496"/>
      <c r="AQ54" s="498"/>
      <c r="AR54" s="498"/>
      <c r="AS54" s="498"/>
      <c r="AT54" s="498"/>
      <c r="AU54" s="498"/>
      <c r="AV54" s="498"/>
      <c r="AW54" s="498"/>
      <c r="AX54" s="498"/>
      <c r="AY54" s="498"/>
      <c r="AZ54" s="498"/>
    </row>
    <row r="55" spans="1:55" s="514" customFormat="1" ht="13.95" customHeight="1" x14ac:dyDescent="0.3">
      <c r="A55" s="543"/>
      <c r="B55" s="505" t="s">
        <v>649</v>
      </c>
      <c r="C55" s="506">
        <f>C164</f>
        <v>12</v>
      </c>
      <c r="D55" s="544">
        <f t="shared" ref="D55:AE55" si="54">D164</f>
        <v>0</v>
      </c>
      <c r="E55" s="545">
        <f t="shared" si="54"/>
        <v>696</v>
      </c>
      <c r="F55" s="546">
        <f t="shared" si="54"/>
        <v>576</v>
      </c>
      <c r="G55" s="545">
        <f t="shared" si="54"/>
        <v>0</v>
      </c>
      <c r="H55" s="545"/>
      <c r="I55" s="508">
        <f t="shared" si="54"/>
        <v>696</v>
      </c>
      <c r="J55" s="509">
        <f t="shared" si="54"/>
        <v>576</v>
      </c>
      <c r="K55" s="510">
        <f t="shared" si="54"/>
        <v>0</v>
      </c>
      <c r="L55" s="510"/>
      <c r="M55" s="508">
        <f t="shared" si="54"/>
        <v>348</v>
      </c>
      <c r="N55" s="509">
        <f t="shared" si="54"/>
        <v>288</v>
      </c>
      <c r="O55" s="508">
        <f t="shared" si="54"/>
        <v>324</v>
      </c>
      <c r="P55" s="508"/>
      <c r="Q55" s="508">
        <f t="shared" si="54"/>
        <v>0</v>
      </c>
      <c r="R55" s="509">
        <f t="shared" si="54"/>
        <v>0</v>
      </c>
      <c r="S55" s="508">
        <f t="shared" si="54"/>
        <v>0</v>
      </c>
      <c r="T55" s="508"/>
      <c r="U55" s="508">
        <f t="shared" si="54"/>
        <v>0</v>
      </c>
      <c r="V55" s="509">
        <f t="shared" si="54"/>
        <v>0</v>
      </c>
      <c r="W55" s="508">
        <f t="shared" si="54"/>
        <v>0</v>
      </c>
      <c r="X55" s="508"/>
      <c r="Y55" s="508">
        <f t="shared" si="54"/>
        <v>0</v>
      </c>
      <c r="Z55" s="509">
        <f t="shared" si="54"/>
        <v>0</v>
      </c>
      <c r="AA55" s="508">
        <f t="shared" si="54"/>
        <v>0</v>
      </c>
      <c r="AB55" s="508"/>
      <c r="AC55" s="508">
        <f t="shared" si="54"/>
        <v>0</v>
      </c>
      <c r="AD55" s="509">
        <f t="shared" si="54"/>
        <v>0</v>
      </c>
      <c r="AE55" s="508">
        <f t="shared" si="54"/>
        <v>0</v>
      </c>
      <c r="AF55" s="508"/>
      <c r="AG55" s="508"/>
      <c r="AH55" s="508"/>
      <c r="AI55" s="508">
        <f t="shared" ref="AI55:AI63" si="55">AJ55+AL55+AK55</f>
        <v>960</v>
      </c>
      <c r="AJ55" s="508">
        <f t="shared" ref="AJ55:AJ63" si="56">M55+Q55+U55+Y55+AC55</f>
        <v>348</v>
      </c>
      <c r="AK55" s="508">
        <f t="shared" ref="AK55:AK63" si="57">N55+R55+V55+Z55+AD55</f>
        <v>288</v>
      </c>
      <c r="AL55" s="508">
        <f t="shared" ref="AL55:AL63" si="58">O55+S55+W55+AA55+AE55</f>
        <v>324</v>
      </c>
      <c r="AM55" s="508"/>
      <c r="AS55" s="547"/>
      <c r="AY55" s="513"/>
      <c r="AZ55" s="513"/>
      <c r="BA55" s="513"/>
      <c r="BB55" s="513"/>
      <c r="BC55" s="513"/>
    </row>
    <row r="56" spans="1:55" s="514" customFormat="1" ht="13.95" customHeight="1" x14ac:dyDescent="0.3">
      <c r="A56" s="543"/>
      <c r="B56" s="505" t="s">
        <v>639</v>
      </c>
      <c r="C56" s="506">
        <f>C110+C165</f>
        <v>27</v>
      </c>
      <c r="D56" s="544">
        <f t="shared" ref="D56:AE63" si="59">D110+D165</f>
        <v>0</v>
      </c>
      <c r="E56" s="545">
        <f t="shared" si="59"/>
        <v>1566</v>
      </c>
      <c r="F56" s="546">
        <f t="shared" si="59"/>
        <v>1296</v>
      </c>
      <c r="G56" s="545">
        <f t="shared" si="59"/>
        <v>0</v>
      </c>
      <c r="H56" s="545"/>
      <c r="I56" s="508">
        <f t="shared" si="59"/>
        <v>1566</v>
      </c>
      <c r="J56" s="509">
        <f t="shared" si="59"/>
        <v>1296</v>
      </c>
      <c r="K56" s="510">
        <f t="shared" si="59"/>
        <v>0</v>
      </c>
      <c r="L56" s="510"/>
      <c r="M56" s="508">
        <f t="shared" si="59"/>
        <v>1566</v>
      </c>
      <c r="N56" s="509">
        <f t="shared" si="59"/>
        <v>1296</v>
      </c>
      <c r="O56" s="508">
        <f t="shared" si="59"/>
        <v>0</v>
      </c>
      <c r="P56" s="508"/>
      <c r="Q56" s="508">
        <f t="shared" si="59"/>
        <v>783</v>
      </c>
      <c r="R56" s="509">
        <f t="shared" si="59"/>
        <v>648</v>
      </c>
      <c r="S56" s="508">
        <f t="shared" si="59"/>
        <v>729</v>
      </c>
      <c r="T56" s="508"/>
      <c r="U56" s="508">
        <f t="shared" si="59"/>
        <v>0</v>
      </c>
      <c r="V56" s="509">
        <f t="shared" si="59"/>
        <v>0</v>
      </c>
      <c r="W56" s="508">
        <f t="shared" si="59"/>
        <v>0</v>
      </c>
      <c r="X56" s="508"/>
      <c r="Y56" s="508">
        <f t="shared" si="59"/>
        <v>0</v>
      </c>
      <c r="Z56" s="509">
        <f t="shared" si="59"/>
        <v>0</v>
      </c>
      <c r="AA56" s="508">
        <f t="shared" si="59"/>
        <v>0</v>
      </c>
      <c r="AB56" s="508"/>
      <c r="AC56" s="508">
        <f t="shared" si="59"/>
        <v>0</v>
      </c>
      <c r="AD56" s="509">
        <f t="shared" si="59"/>
        <v>0</v>
      </c>
      <c r="AE56" s="508">
        <f t="shared" si="59"/>
        <v>0</v>
      </c>
      <c r="AF56" s="508"/>
      <c r="AG56" s="508"/>
      <c r="AH56" s="508"/>
      <c r="AI56" s="508">
        <f t="shared" si="55"/>
        <v>5022</v>
      </c>
      <c r="AJ56" s="508">
        <f t="shared" si="56"/>
        <v>2349</v>
      </c>
      <c r="AK56" s="508">
        <f t="shared" si="57"/>
        <v>1944</v>
      </c>
      <c r="AL56" s="508">
        <f t="shared" si="58"/>
        <v>729</v>
      </c>
      <c r="AM56" s="508"/>
      <c r="AS56" s="547"/>
      <c r="AY56" s="513"/>
      <c r="AZ56" s="513"/>
      <c r="BA56" s="513"/>
      <c r="BB56" s="513"/>
      <c r="BC56" s="513"/>
    </row>
    <row r="57" spans="1:55" s="498" customFormat="1" ht="13.95" customHeight="1" x14ac:dyDescent="0.3">
      <c r="A57" s="521"/>
      <c r="B57" s="515" t="s">
        <v>641</v>
      </c>
      <c r="C57" s="506">
        <f t="shared" ref="C57:V63" si="60">C111+C166</f>
        <v>22</v>
      </c>
      <c r="D57" s="524">
        <f t="shared" si="60"/>
        <v>0</v>
      </c>
      <c r="E57" s="532">
        <f t="shared" si="60"/>
        <v>638</v>
      </c>
      <c r="F57" s="533">
        <f t="shared" si="60"/>
        <v>528</v>
      </c>
      <c r="G57" s="532">
        <f t="shared" si="60"/>
        <v>0</v>
      </c>
      <c r="H57" s="532"/>
      <c r="I57" s="485">
        <f t="shared" si="60"/>
        <v>1276</v>
      </c>
      <c r="J57" s="486">
        <f t="shared" si="60"/>
        <v>1056</v>
      </c>
      <c r="K57" s="516">
        <f t="shared" si="60"/>
        <v>0</v>
      </c>
      <c r="L57" s="516"/>
      <c r="M57" s="518">
        <f t="shared" si="60"/>
        <v>1276</v>
      </c>
      <c r="N57" s="519">
        <f t="shared" si="60"/>
        <v>1056</v>
      </c>
      <c r="O57" s="485">
        <f t="shared" si="60"/>
        <v>0</v>
      </c>
      <c r="P57" s="485"/>
      <c r="Q57" s="518">
        <f t="shared" si="60"/>
        <v>1276</v>
      </c>
      <c r="R57" s="519">
        <f t="shared" si="60"/>
        <v>1056</v>
      </c>
      <c r="S57" s="485">
        <f t="shared" si="60"/>
        <v>0</v>
      </c>
      <c r="T57" s="485"/>
      <c r="U57" s="518">
        <f t="shared" si="60"/>
        <v>638</v>
      </c>
      <c r="V57" s="519">
        <f t="shared" si="60"/>
        <v>528</v>
      </c>
      <c r="W57" s="517">
        <f t="shared" si="59"/>
        <v>594</v>
      </c>
      <c r="X57" s="517"/>
      <c r="Y57" s="518">
        <f t="shared" si="59"/>
        <v>0</v>
      </c>
      <c r="Z57" s="519">
        <f t="shared" si="59"/>
        <v>0</v>
      </c>
      <c r="AA57" s="517">
        <f t="shared" si="59"/>
        <v>0</v>
      </c>
      <c r="AB57" s="517"/>
      <c r="AC57" s="518">
        <f t="shared" si="59"/>
        <v>0</v>
      </c>
      <c r="AD57" s="519">
        <f t="shared" si="59"/>
        <v>0</v>
      </c>
      <c r="AE57" s="517">
        <f t="shared" si="59"/>
        <v>0</v>
      </c>
      <c r="AF57" s="517"/>
      <c r="AG57" s="517"/>
      <c r="AH57" s="517"/>
      <c r="AI57" s="485">
        <f t="shared" si="55"/>
        <v>6424</v>
      </c>
      <c r="AJ57" s="485">
        <f t="shared" si="56"/>
        <v>3190</v>
      </c>
      <c r="AK57" s="485">
        <f t="shared" si="57"/>
        <v>2640</v>
      </c>
      <c r="AL57" s="485">
        <f t="shared" si="58"/>
        <v>594</v>
      </c>
      <c r="AM57" s="485"/>
      <c r="AS57" s="542"/>
      <c r="AY57" s="251"/>
      <c r="AZ57" s="251"/>
      <c r="BA57" s="251"/>
      <c r="BB57" s="251"/>
      <c r="BC57" s="251"/>
    </row>
    <row r="58" spans="1:55" s="498" customFormat="1" ht="13.95" customHeight="1" x14ac:dyDescent="0.3">
      <c r="A58" s="521"/>
      <c r="B58" s="515" t="s">
        <v>642</v>
      </c>
      <c r="C58" s="506">
        <f t="shared" si="60"/>
        <v>17</v>
      </c>
      <c r="D58" s="524">
        <f t="shared" si="59"/>
        <v>0</v>
      </c>
      <c r="E58" s="532">
        <f t="shared" si="59"/>
        <v>0</v>
      </c>
      <c r="F58" s="533">
        <f t="shared" si="59"/>
        <v>0</v>
      </c>
      <c r="G58" s="532">
        <f t="shared" si="59"/>
        <v>0</v>
      </c>
      <c r="H58" s="532"/>
      <c r="I58" s="485">
        <f t="shared" si="59"/>
        <v>493</v>
      </c>
      <c r="J58" s="486">
        <f t="shared" si="59"/>
        <v>408</v>
      </c>
      <c r="K58" s="516">
        <f t="shared" si="59"/>
        <v>0</v>
      </c>
      <c r="L58" s="516"/>
      <c r="M58" s="518">
        <f t="shared" si="59"/>
        <v>986</v>
      </c>
      <c r="N58" s="519">
        <f t="shared" si="59"/>
        <v>816</v>
      </c>
      <c r="O58" s="485">
        <f t="shared" si="59"/>
        <v>0</v>
      </c>
      <c r="P58" s="485"/>
      <c r="Q58" s="518">
        <f t="shared" si="59"/>
        <v>986</v>
      </c>
      <c r="R58" s="519">
        <f t="shared" si="59"/>
        <v>816</v>
      </c>
      <c r="S58" s="485">
        <f t="shared" si="59"/>
        <v>0</v>
      </c>
      <c r="T58" s="485"/>
      <c r="U58" s="518">
        <f t="shared" si="59"/>
        <v>986</v>
      </c>
      <c r="V58" s="519">
        <f t="shared" si="59"/>
        <v>816</v>
      </c>
      <c r="W58" s="517">
        <f t="shared" si="59"/>
        <v>0</v>
      </c>
      <c r="X58" s="517"/>
      <c r="Y58" s="518">
        <f t="shared" si="59"/>
        <v>493</v>
      </c>
      <c r="Z58" s="519">
        <f t="shared" si="59"/>
        <v>408</v>
      </c>
      <c r="AA58" s="517">
        <f t="shared" si="59"/>
        <v>459</v>
      </c>
      <c r="AB58" s="517"/>
      <c r="AC58" s="518">
        <f t="shared" si="59"/>
        <v>0</v>
      </c>
      <c r="AD58" s="519">
        <f t="shared" si="59"/>
        <v>0</v>
      </c>
      <c r="AE58" s="517">
        <f t="shared" si="59"/>
        <v>0</v>
      </c>
      <c r="AF58" s="517"/>
      <c r="AG58" s="517"/>
      <c r="AH58" s="517"/>
      <c r="AI58" s="485">
        <f t="shared" si="55"/>
        <v>6766</v>
      </c>
      <c r="AJ58" s="485">
        <f t="shared" si="56"/>
        <v>3451</v>
      </c>
      <c r="AK58" s="485">
        <f t="shared" si="57"/>
        <v>2856</v>
      </c>
      <c r="AL58" s="485">
        <f t="shared" si="58"/>
        <v>459</v>
      </c>
      <c r="AM58" s="485"/>
      <c r="AS58" s="542">
        <v>1136</v>
      </c>
      <c r="AY58" s="251"/>
      <c r="AZ58" s="251"/>
      <c r="BA58" s="251"/>
      <c r="BB58" s="251"/>
      <c r="BC58" s="251"/>
    </row>
    <row r="59" spans="1:55" s="498" customFormat="1" ht="13.95" customHeight="1" x14ac:dyDescent="0.3">
      <c r="A59" s="521"/>
      <c r="B59" s="515" t="s">
        <v>643</v>
      </c>
      <c r="C59" s="506">
        <f t="shared" si="60"/>
        <v>78</v>
      </c>
      <c r="D59" s="524">
        <f t="shared" si="59"/>
        <v>0</v>
      </c>
      <c r="E59" s="532">
        <f t="shared" si="59"/>
        <v>0</v>
      </c>
      <c r="F59" s="533">
        <f t="shared" si="59"/>
        <v>0</v>
      </c>
      <c r="G59" s="532">
        <f t="shared" si="59"/>
        <v>0</v>
      </c>
      <c r="H59" s="532"/>
      <c r="I59" s="485">
        <f t="shared" si="59"/>
        <v>0</v>
      </c>
      <c r="J59" s="486">
        <f t="shared" si="59"/>
        <v>0</v>
      </c>
      <c r="K59" s="516">
        <f t="shared" si="59"/>
        <v>0</v>
      </c>
      <c r="L59" s="516"/>
      <c r="M59" s="518">
        <f t="shared" si="59"/>
        <v>2262</v>
      </c>
      <c r="N59" s="519">
        <f t="shared" si="59"/>
        <v>1872</v>
      </c>
      <c r="O59" s="485">
        <f t="shared" si="59"/>
        <v>0</v>
      </c>
      <c r="P59" s="485"/>
      <c r="Q59" s="518">
        <f t="shared" si="59"/>
        <v>4524</v>
      </c>
      <c r="R59" s="519">
        <f t="shared" si="59"/>
        <v>3744</v>
      </c>
      <c r="S59" s="485">
        <f t="shared" si="59"/>
        <v>0</v>
      </c>
      <c r="T59" s="485"/>
      <c r="U59" s="518">
        <f t="shared" si="59"/>
        <v>4524</v>
      </c>
      <c r="V59" s="519">
        <f t="shared" si="59"/>
        <v>3744</v>
      </c>
      <c r="W59" s="517">
        <f t="shared" si="59"/>
        <v>0</v>
      </c>
      <c r="X59" s="517"/>
      <c r="Y59" s="518">
        <f t="shared" si="59"/>
        <v>4524</v>
      </c>
      <c r="Z59" s="519">
        <f t="shared" si="59"/>
        <v>3744</v>
      </c>
      <c r="AA59" s="517">
        <f t="shared" si="59"/>
        <v>0</v>
      </c>
      <c r="AB59" s="517"/>
      <c r="AC59" s="518">
        <f t="shared" si="59"/>
        <v>2262</v>
      </c>
      <c r="AD59" s="519">
        <f t="shared" si="59"/>
        <v>1872</v>
      </c>
      <c r="AE59" s="517">
        <f t="shared" si="59"/>
        <v>2106</v>
      </c>
      <c r="AF59" s="517"/>
      <c r="AG59" s="516">
        <f t="shared" ref="AG59:AH63" si="61">C59</f>
        <v>78</v>
      </c>
      <c r="AH59" s="516">
        <f t="shared" si="61"/>
        <v>0</v>
      </c>
      <c r="AI59" s="485">
        <f t="shared" si="55"/>
        <v>35178</v>
      </c>
      <c r="AJ59" s="485">
        <f t="shared" si="56"/>
        <v>18096</v>
      </c>
      <c r="AK59" s="485">
        <f t="shared" si="57"/>
        <v>14976</v>
      </c>
      <c r="AL59" s="485">
        <f t="shared" si="58"/>
        <v>2106</v>
      </c>
      <c r="AM59" s="485"/>
      <c r="AS59" s="542">
        <v>9</v>
      </c>
      <c r="AY59" s="251"/>
      <c r="AZ59" s="251"/>
      <c r="BA59" s="251"/>
      <c r="BB59" s="251"/>
      <c r="BC59" s="251"/>
    </row>
    <row r="60" spans="1:55" s="498" customFormat="1" ht="13.95" customHeight="1" x14ac:dyDescent="0.3">
      <c r="A60" s="521"/>
      <c r="B60" s="515" t="s">
        <v>644</v>
      </c>
      <c r="C60" s="506">
        <f t="shared" si="60"/>
        <v>62</v>
      </c>
      <c r="D60" s="524">
        <f t="shared" si="59"/>
        <v>0</v>
      </c>
      <c r="E60" s="532">
        <f t="shared" si="59"/>
        <v>0</v>
      </c>
      <c r="F60" s="533">
        <f t="shared" si="59"/>
        <v>0</v>
      </c>
      <c r="G60" s="532">
        <f t="shared" si="59"/>
        <v>0</v>
      </c>
      <c r="H60" s="532"/>
      <c r="I60" s="485">
        <f t="shared" si="59"/>
        <v>0</v>
      </c>
      <c r="J60" s="486">
        <f t="shared" si="59"/>
        <v>0</v>
      </c>
      <c r="K60" s="516">
        <f t="shared" si="59"/>
        <v>0</v>
      </c>
      <c r="L60" s="516"/>
      <c r="M60" s="518">
        <f t="shared" si="59"/>
        <v>0</v>
      </c>
      <c r="N60" s="519">
        <f t="shared" si="59"/>
        <v>0</v>
      </c>
      <c r="O60" s="485">
        <f t="shared" si="59"/>
        <v>0</v>
      </c>
      <c r="P60" s="485"/>
      <c r="Q60" s="518">
        <f t="shared" si="59"/>
        <v>1798</v>
      </c>
      <c r="R60" s="519">
        <f t="shared" si="59"/>
        <v>1488</v>
      </c>
      <c r="S60" s="485">
        <f t="shared" si="59"/>
        <v>0</v>
      </c>
      <c r="T60" s="485"/>
      <c r="U60" s="518">
        <f t="shared" si="59"/>
        <v>3596</v>
      </c>
      <c r="V60" s="519">
        <f t="shared" si="59"/>
        <v>2976</v>
      </c>
      <c r="W60" s="517">
        <f t="shared" si="59"/>
        <v>0</v>
      </c>
      <c r="X60" s="517"/>
      <c r="Y60" s="518">
        <f t="shared" si="59"/>
        <v>3596</v>
      </c>
      <c r="Z60" s="519">
        <f t="shared" si="59"/>
        <v>2976</v>
      </c>
      <c r="AA60" s="517">
        <f t="shared" si="59"/>
        <v>0</v>
      </c>
      <c r="AB60" s="517"/>
      <c r="AC60" s="518">
        <f t="shared" si="59"/>
        <v>3596</v>
      </c>
      <c r="AD60" s="519">
        <f t="shared" si="59"/>
        <v>2976</v>
      </c>
      <c r="AE60" s="528"/>
      <c r="AF60" s="517"/>
      <c r="AG60" s="516">
        <f t="shared" si="61"/>
        <v>62</v>
      </c>
      <c r="AH60" s="516">
        <f t="shared" si="61"/>
        <v>0</v>
      </c>
      <c r="AI60" s="485">
        <f t="shared" si="55"/>
        <v>23002</v>
      </c>
      <c r="AJ60" s="485">
        <f t="shared" si="56"/>
        <v>12586</v>
      </c>
      <c r="AK60" s="485">
        <f t="shared" si="57"/>
        <v>10416</v>
      </c>
      <c r="AL60" s="485">
        <f t="shared" si="58"/>
        <v>0</v>
      </c>
      <c r="AM60" s="485"/>
      <c r="AS60" s="542"/>
      <c r="AY60" s="251"/>
      <c r="AZ60" s="251"/>
      <c r="BA60" s="251"/>
      <c r="BB60" s="251"/>
      <c r="BC60" s="251"/>
    </row>
    <row r="61" spans="1:55" s="498" customFormat="1" ht="13.95" customHeight="1" x14ac:dyDescent="0.3">
      <c r="A61" s="521"/>
      <c r="B61" s="515" t="s">
        <v>645</v>
      </c>
      <c r="C61" s="506">
        <f t="shared" si="60"/>
        <v>56</v>
      </c>
      <c r="D61" s="524">
        <f t="shared" si="59"/>
        <v>0</v>
      </c>
      <c r="E61" s="532">
        <f t="shared" si="59"/>
        <v>0</v>
      </c>
      <c r="F61" s="533">
        <f t="shared" si="59"/>
        <v>0</v>
      </c>
      <c r="G61" s="532">
        <f t="shared" si="59"/>
        <v>0</v>
      </c>
      <c r="H61" s="532"/>
      <c r="I61" s="485">
        <f t="shared" si="59"/>
        <v>0</v>
      </c>
      <c r="J61" s="486">
        <f t="shared" si="59"/>
        <v>0</v>
      </c>
      <c r="K61" s="516">
        <f t="shared" si="59"/>
        <v>0</v>
      </c>
      <c r="L61" s="516"/>
      <c r="M61" s="518">
        <f t="shared" si="59"/>
        <v>0</v>
      </c>
      <c r="N61" s="519">
        <f t="shared" si="59"/>
        <v>0</v>
      </c>
      <c r="O61" s="485">
        <f t="shared" si="59"/>
        <v>0</v>
      </c>
      <c r="P61" s="485"/>
      <c r="Q61" s="518">
        <f t="shared" si="59"/>
        <v>0</v>
      </c>
      <c r="R61" s="519">
        <f t="shared" si="59"/>
        <v>0</v>
      </c>
      <c r="S61" s="485">
        <f t="shared" si="59"/>
        <v>0</v>
      </c>
      <c r="T61" s="485"/>
      <c r="U61" s="518">
        <f t="shared" si="59"/>
        <v>1624</v>
      </c>
      <c r="V61" s="519">
        <f t="shared" si="59"/>
        <v>1344</v>
      </c>
      <c r="W61" s="517">
        <f t="shared" si="59"/>
        <v>0</v>
      </c>
      <c r="X61" s="517"/>
      <c r="Y61" s="518">
        <f t="shared" si="59"/>
        <v>3248</v>
      </c>
      <c r="Z61" s="519">
        <f t="shared" si="59"/>
        <v>2688</v>
      </c>
      <c r="AA61" s="517">
        <f t="shared" si="59"/>
        <v>0</v>
      </c>
      <c r="AB61" s="517"/>
      <c r="AC61" s="518">
        <f t="shared" si="59"/>
        <v>3248</v>
      </c>
      <c r="AD61" s="519">
        <f t="shared" si="59"/>
        <v>2688</v>
      </c>
      <c r="AE61" s="528"/>
      <c r="AF61" s="517"/>
      <c r="AG61" s="516">
        <f t="shared" si="61"/>
        <v>56</v>
      </c>
      <c r="AH61" s="516">
        <f t="shared" si="61"/>
        <v>0</v>
      </c>
      <c r="AI61" s="485">
        <f t="shared" si="55"/>
        <v>14840</v>
      </c>
      <c r="AJ61" s="485">
        <f t="shared" si="56"/>
        <v>8120</v>
      </c>
      <c r="AK61" s="485">
        <f t="shared" si="57"/>
        <v>6720</v>
      </c>
      <c r="AL61" s="485">
        <f t="shared" si="58"/>
        <v>0</v>
      </c>
      <c r="AM61" s="485"/>
      <c r="AS61" s="542"/>
      <c r="AY61" s="251"/>
      <c r="AZ61" s="251"/>
      <c r="BA61" s="251"/>
      <c r="BB61" s="251"/>
      <c r="BC61" s="251"/>
    </row>
    <row r="62" spans="1:55" s="498" customFormat="1" ht="13.95" customHeight="1" x14ac:dyDescent="0.3">
      <c r="A62" s="521"/>
      <c r="B62" s="515" t="s">
        <v>646</v>
      </c>
      <c r="C62" s="506">
        <f t="shared" si="60"/>
        <v>51</v>
      </c>
      <c r="D62" s="524">
        <f t="shared" si="59"/>
        <v>0</v>
      </c>
      <c r="E62" s="532">
        <f t="shared" si="59"/>
        <v>0</v>
      </c>
      <c r="F62" s="533">
        <f t="shared" si="59"/>
        <v>0</v>
      </c>
      <c r="G62" s="532">
        <f t="shared" si="59"/>
        <v>0</v>
      </c>
      <c r="H62" s="532"/>
      <c r="I62" s="485">
        <f t="shared" si="59"/>
        <v>0</v>
      </c>
      <c r="J62" s="486">
        <f t="shared" si="59"/>
        <v>0</v>
      </c>
      <c r="K62" s="516">
        <f t="shared" si="59"/>
        <v>0</v>
      </c>
      <c r="L62" s="516"/>
      <c r="M62" s="518">
        <f t="shared" si="59"/>
        <v>0</v>
      </c>
      <c r="N62" s="519">
        <f t="shared" si="59"/>
        <v>0</v>
      </c>
      <c r="O62" s="485">
        <f t="shared" si="59"/>
        <v>0</v>
      </c>
      <c r="P62" s="485"/>
      <c r="Q62" s="518">
        <f t="shared" si="59"/>
        <v>0</v>
      </c>
      <c r="R62" s="519">
        <f t="shared" si="59"/>
        <v>0</v>
      </c>
      <c r="S62" s="485">
        <f t="shared" si="59"/>
        <v>0</v>
      </c>
      <c r="T62" s="485"/>
      <c r="U62" s="518">
        <f t="shared" si="59"/>
        <v>0</v>
      </c>
      <c r="V62" s="519">
        <f t="shared" si="59"/>
        <v>0</v>
      </c>
      <c r="W62" s="517">
        <f t="shared" si="59"/>
        <v>0</v>
      </c>
      <c r="X62" s="517"/>
      <c r="Y62" s="518">
        <f t="shared" si="59"/>
        <v>1479</v>
      </c>
      <c r="Z62" s="519">
        <f t="shared" si="59"/>
        <v>1224</v>
      </c>
      <c r="AA62" s="517">
        <f t="shared" si="59"/>
        <v>0</v>
      </c>
      <c r="AB62" s="517"/>
      <c r="AC62" s="518">
        <f t="shared" si="59"/>
        <v>2958</v>
      </c>
      <c r="AD62" s="519">
        <f t="shared" si="59"/>
        <v>2448</v>
      </c>
      <c r="AE62" s="528"/>
      <c r="AF62" s="517"/>
      <c r="AG62" s="516">
        <f t="shared" si="61"/>
        <v>51</v>
      </c>
      <c r="AH62" s="516">
        <f t="shared" si="61"/>
        <v>0</v>
      </c>
      <c r="AI62" s="485">
        <f t="shared" si="55"/>
        <v>8109</v>
      </c>
      <c r="AJ62" s="485">
        <f t="shared" si="56"/>
        <v>4437</v>
      </c>
      <c r="AK62" s="485">
        <f t="shared" si="57"/>
        <v>3672</v>
      </c>
      <c r="AL62" s="485">
        <f t="shared" si="58"/>
        <v>0</v>
      </c>
      <c r="AM62" s="485"/>
      <c r="AS62" s="542"/>
      <c r="AV62" s="498">
        <f t="shared" ref="AV62:AZ69" si="62">AV4</f>
        <v>0</v>
      </c>
      <c r="AW62" s="498" t="str">
        <f t="shared" si="62"/>
        <v>Số tiền học phí/năm</v>
      </c>
      <c r="AX62" s="498" t="str">
        <f t="shared" si="62"/>
        <v>Số năm</v>
      </c>
      <c r="AY62" s="251" t="str">
        <f t="shared" si="62"/>
        <v>mức lương cơ sở 1 lần</v>
      </c>
      <c r="AZ62" s="251" t="str">
        <f t="shared" si="62"/>
        <v>mức hỗ trợ 1 lần đối tượng ít hấp dẫn</v>
      </c>
      <c r="BA62" s="251"/>
      <c r="BB62" s="251"/>
      <c r="BC62" s="251"/>
    </row>
    <row r="63" spans="1:55" s="498" customFormat="1" ht="13.95" customHeight="1" x14ac:dyDescent="0.3">
      <c r="A63" s="521"/>
      <c r="B63" s="515" t="s">
        <v>647</v>
      </c>
      <c r="C63" s="506">
        <f t="shared" si="60"/>
        <v>50</v>
      </c>
      <c r="D63" s="524">
        <f t="shared" si="59"/>
        <v>0</v>
      </c>
      <c r="E63" s="532">
        <f t="shared" si="59"/>
        <v>0</v>
      </c>
      <c r="F63" s="533">
        <f t="shared" si="59"/>
        <v>0</v>
      </c>
      <c r="G63" s="532">
        <f t="shared" si="59"/>
        <v>0</v>
      </c>
      <c r="H63" s="532"/>
      <c r="I63" s="485">
        <f t="shared" si="59"/>
        <v>0</v>
      </c>
      <c r="J63" s="486">
        <f t="shared" si="59"/>
        <v>0</v>
      </c>
      <c r="K63" s="516">
        <f t="shared" si="59"/>
        <v>0</v>
      </c>
      <c r="L63" s="516"/>
      <c r="M63" s="518">
        <f t="shared" si="59"/>
        <v>0</v>
      </c>
      <c r="N63" s="519">
        <f t="shared" si="59"/>
        <v>0</v>
      </c>
      <c r="O63" s="485">
        <f t="shared" si="59"/>
        <v>0</v>
      </c>
      <c r="P63" s="485"/>
      <c r="Q63" s="518">
        <f t="shared" si="59"/>
        <v>0</v>
      </c>
      <c r="R63" s="519">
        <f t="shared" si="59"/>
        <v>0</v>
      </c>
      <c r="S63" s="485">
        <f t="shared" si="59"/>
        <v>0</v>
      </c>
      <c r="T63" s="485"/>
      <c r="U63" s="518">
        <f t="shared" si="59"/>
        <v>0</v>
      </c>
      <c r="V63" s="519">
        <f t="shared" si="59"/>
        <v>0</v>
      </c>
      <c r="W63" s="517">
        <f t="shared" si="59"/>
        <v>0</v>
      </c>
      <c r="X63" s="517"/>
      <c r="Y63" s="518">
        <f t="shared" si="59"/>
        <v>0</v>
      </c>
      <c r="Z63" s="519">
        <f t="shared" si="59"/>
        <v>0</v>
      </c>
      <c r="AA63" s="517">
        <f t="shared" si="59"/>
        <v>0</v>
      </c>
      <c r="AB63" s="517"/>
      <c r="AC63" s="518">
        <f t="shared" si="59"/>
        <v>1450</v>
      </c>
      <c r="AD63" s="519">
        <f t="shared" si="59"/>
        <v>1200</v>
      </c>
      <c r="AE63" s="528"/>
      <c r="AF63" s="517"/>
      <c r="AG63" s="516">
        <f t="shared" si="61"/>
        <v>50</v>
      </c>
      <c r="AH63" s="516">
        <f t="shared" si="61"/>
        <v>0</v>
      </c>
      <c r="AI63" s="485">
        <f t="shared" si="55"/>
        <v>2650</v>
      </c>
      <c r="AJ63" s="485">
        <f t="shared" si="56"/>
        <v>1450</v>
      </c>
      <c r="AK63" s="485">
        <f t="shared" si="57"/>
        <v>1200</v>
      </c>
      <c r="AL63" s="485">
        <f t="shared" si="58"/>
        <v>0</v>
      </c>
      <c r="AM63" s="485"/>
      <c r="AS63" s="542"/>
      <c r="AV63" s="498">
        <f t="shared" si="62"/>
        <v>0</v>
      </c>
      <c r="AW63" s="498">
        <f t="shared" si="62"/>
        <v>0</v>
      </c>
      <c r="AX63" s="498">
        <f t="shared" si="62"/>
        <v>0</v>
      </c>
      <c r="AY63" s="251">
        <f t="shared" si="62"/>
        <v>0</v>
      </c>
      <c r="AZ63" s="251">
        <f t="shared" si="62"/>
        <v>0</v>
      </c>
      <c r="BA63" s="251"/>
      <c r="BB63" s="251"/>
      <c r="BC63" s="251"/>
    </row>
    <row r="64" spans="1:55" ht="43.95" customHeight="1" x14ac:dyDescent="0.3">
      <c r="A64" s="501">
        <v>6</v>
      </c>
      <c r="B64" s="502" t="s">
        <v>650</v>
      </c>
      <c r="C64" s="503">
        <f>SUM(C65:C71)</f>
        <v>6911</v>
      </c>
      <c r="D64" s="503">
        <f t="shared" ref="D64:AL64" si="63">SUM(D65:D71)</f>
        <v>0</v>
      </c>
      <c r="E64" s="503">
        <f t="shared" si="63"/>
        <v>2364</v>
      </c>
      <c r="F64" s="503">
        <f t="shared" si="63"/>
        <v>0</v>
      </c>
      <c r="G64" s="503">
        <f t="shared" si="63"/>
        <v>0</v>
      </c>
      <c r="H64" s="503"/>
      <c r="I64" s="503">
        <f t="shared" si="63"/>
        <v>1989</v>
      </c>
      <c r="J64" s="503">
        <f t="shared" si="63"/>
        <v>0</v>
      </c>
      <c r="K64" s="503">
        <f t="shared" si="63"/>
        <v>0</v>
      </c>
      <c r="L64" s="503"/>
      <c r="M64" s="503">
        <f t="shared" si="63"/>
        <v>3408</v>
      </c>
      <c r="N64" s="503">
        <f t="shared" si="63"/>
        <v>16257.599999999999</v>
      </c>
      <c r="O64" s="503">
        <f t="shared" si="63"/>
        <v>10161</v>
      </c>
      <c r="P64" s="503"/>
      <c r="Q64" s="503">
        <f t="shared" si="63"/>
        <v>3348</v>
      </c>
      <c r="R64" s="503">
        <f t="shared" si="63"/>
        <v>15940.8</v>
      </c>
      <c r="S64" s="503">
        <f t="shared" si="63"/>
        <v>9963</v>
      </c>
      <c r="T64" s="503"/>
      <c r="U64" s="503">
        <f t="shared" si="63"/>
        <v>3168</v>
      </c>
      <c r="V64" s="503">
        <f t="shared" si="63"/>
        <v>15119.999999999998</v>
      </c>
      <c r="W64" s="503">
        <f t="shared" si="63"/>
        <v>9450</v>
      </c>
      <c r="X64" s="503"/>
      <c r="Y64" s="503">
        <f t="shared" si="63"/>
        <v>3240</v>
      </c>
      <c r="Z64" s="503">
        <f t="shared" si="63"/>
        <v>15436.8</v>
      </c>
      <c r="AA64" s="503">
        <f t="shared" si="63"/>
        <v>9648</v>
      </c>
      <c r="AB64" s="503"/>
      <c r="AC64" s="503">
        <f t="shared" si="63"/>
        <v>3216</v>
      </c>
      <c r="AD64" s="503">
        <f t="shared" si="63"/>
        <v>15335.999999999998</v>
      </c>
      <c r="AE64" s="503">
        <f t="shared" si="63"/>
        <v>9585</v>
      </c>
      <c r="AF64" s="503"/>
      <c r="AG64" s="503">
        <f t="shared" si="63"/>
        <v>5460</v>
      </c>
      <c r="AH64" s="503">
        <f t="shared" si="63"/>
        <v>0</v>
      </c>
      <c r="AI64" s="504">
        <f t="shared" si="63"/>
        <v>143278.20000000001</v>
      </c>
      <c r="AJ64" s="504">
        <f t="shared" si="63"/>
        <v>16380</v>
      </c>
      <c r="AK64" s="504">
        <f t="shared" si="63"/>
        <v>78091.199999999997</v>
      </c>
      <c r="AL64" s="504">
        <f t="shared" si="63"/>
        <v>48807</v>
      </c>
      <c r="AM64" s="504"/>
      <c r="AN64" s="496"/>
      <c r="AO64" s="548">
        <v>788</v>
      </c>
      <c r="AP64" s="548"/>
      <c r="AQ64" s="549">
        <v>663</v>
      </c>
      <c r="AR64" s="549"/>
      <c r="AS64" s="498"/>
      <c r="AT64" s="480"/>
      <c r="AU64" s="481"/>
      <c r="AV64" s="550" t="str">
        <f t="shared" si="62"/>
        <v>Tiến sĩ chuyên ngành y tế</v>
      </c>
      <c r="AW64" s="483">
        <f t="shared" si="62"/>
        <v>87.5</v>
      </c>
      <c r="AX64" s="483">
        <f t="shared" si="62"/>
        <v>4</v>
      </c>
      <c r="AY64" s="483">
        <f t="shared" si="62"/>
        <v>100</v>
      </c>
      <c r="AZ64" s="483">
        <f t="shared" si="62"/>
        <v>1.5</v>
      </c>
    </row>
    <row r="65" spans="1:55" s="498" customFormat="1" ht="13.95" customHeight="1" x14ac:dyDescent="0.3">
      <c r="A65" s="521"/>
      <c r="B65" s="515" t="s">
        <v>641</v>
      </c>
      <c r="C65" s="551">
        <f>C119+C174</f>
        <v>788</v>
      </c>
      <c r="D65" s="524">
        <f t="shared" ref="D65:AE71" si="64">D119+D174</f>
        <v>0</v>
      </c>
      <c r="E65" s="485">
        <f t="shared" si="64"/>
        <v>2364</v>
      </c>
      <c r="F65" s="486">
        <f t="shared" si="64"/>
        <v>0</v>
      </c>
      <c r="G65" s="485">
        <f t="shared" si="64"/>
        <v>0</v>
      </c>
      <c r="H65" s="485"/>
      <c r="I65" s="518">
        <f t="shared" si="64"/>
        <v>0</v>
      </c>
      <c r="J65" s="519">
        <f t="shared" si="64"/>
        <v>0</v>
      </c>
      <c r="K65" s="485">
        <f t="shared" si="64"/>
        <v>0</v>
      </c>
      <c r="L65" s="485"/>
      <c r="M65" s="518">
        <f t="shared" si="64"/>
        <v>0</v>
      </c>
      <c r="N65" s="519">
        <f t="shared" si="64"/>
        <v>0</v>
      </c>
      <c r="O65" s="485">
        <f t="shared" si="64"/>
        <v>0</v>
      </c>
      <c r="P65" s="485"/>
      <c r="Q65" s="518">
        <f t="shared" si="64"/>
        <v>0</v>
      </c>
      <c r="R65" s="519">
        <f t="shared" si="64"/>
        <v>0</v>
      </c>
      <c r="S65" s="517">
        <f t="shared" si="64"/>
        <v>0</v>
      </c>
      <c r="T65" s="517"/>
      <c r="U65" s="518">
        <f t="shared" si="64"/>
        <v>0</v>
      </c>
      <c r="V65" s="519">
        <f t="shared" si="64"/>
        <v>0</v>
      </c>
      <c r="W65" s="517">
        <f t="shared" si="64"/>
        <v>0</v>
      </c>
      <c r="X65" s="517"/>
      <c r="Y65" s="518">
        <f t="shared" si="64"/>
        <v>0</v>
      </c>
      <c r="Z65" s="519">
        <f t="shared" si="64"/>
        <v>0</v>
      </c>
      <c r="AA65" s="517">
        <f t="shared" si="64"/>
        <v>0</v>
      </c>
      <c r="AB65" s="517"/>
      <c r="AC65" s="518">
        <f t="shared" si="64"/>
        <v>0</v>
      </c>
      <c r="AD65" s="519">
        <f t="shared" si="64"/>
        <v>0</v>
      </c>
      <c r="AE65" s="517">
        <f t="shared" si="64"/>
        <v>0</v>
      </c>
      <c r="AF65" s="517"/>
      <c r="AG65" s="517"/>
      <c r="AH65" s="517"/>
      <c r="AI65" s="485">
        <f t="shared" ref="AI65:AI71" si="65">AJ65+AL65+AK65</f>
        <v>0</v>
      </c>
      <c r="AJ65" s="485">
        <f t="shared" ref="AJ65:AL71" si="66">M65+Q65+U65+Y65+AC65</f>
        <v>0</v>
      </c>
      <c r="AK65" s="485">
        <f t="shared" si="66"/>
        <v>0</v>
      </c>
      <c r="AL65" s="485">
        <f t="shared" si="66"/>
        <v>0</v>
      </c>
      <c r="AM65" s="485"/>
      <c r="AO65" s="548">
        <v>788</v>
      </c>
      <c r="AP65" s="548"/>
      <c r="AQ65" s="498">
        <v>9</v>
      </c>
      <c r="AS65" s="251"/>
      <c r="AT65" s="258"/>
      <c r="AU65" s="490"/>
      <c r="AV65" s="552" t="str">
        <f t="shared" si="62"/>
        <v>Chuyên khoa cấp II</v>
      </c>
      <c r="AW65" s="492">
        <f t="shared" si="62"/>
        <v>87.5</v>
      </c>
      <c r="AX65" s="492">
        <f t="shared" si="62"/>
        <v>2</v>
      </c>
      <c r="AY65" s="492">
        <f t="shared" si="62"/>
        <v>72</v>
      </c>
      <c r="AZ65" s="255">
        <f t="shared" si="62"/>
        <v>1.5</v>
      </c>
    </row>
    <row r="66" spans="1:55" s="498" customFormat="1" ht="13.95" customHeight="1" x14ac:dyDescent="0.3">
      <c r="A66" s="521"/>
      <c r="B66" s="515" t="s">
        <v>642</v>
      </c>
      <c r="C66" s="551">
        <f t="shared" ref="C66:V71" si="67">C120+C175</f>
        <v>663</v>
      </c>
      <c r="D66" s="524">
        <f t="shared" si="67"/>
        <v>0</v>
      </c>
      <c r="E66" s="532">
        <f t="shared" si="67"/>
        <v>0</v>
      </c>
      <c r="F66" s="533">
        <f t="shared" si="67"/>
        <v>0</v>
      </c>
      <c r="G66" s="532">
        <f t="shared" si="67"/>
        <v>0</v>
      </c>
      <c r="H66" s="532"/>
      <c r="I66" s="485">
        <f t="shared" si="67"/>
        <v>1989</v>
      </c>
      <c r="J66" s="487">
        <f t="shared" si="67"/>
        <v>0</v>
      </c>
      <c r="K66" s="485">
        <f t="shared" si="67"/>
        <v>0</v>
      </c>
      <c r="L66" s="485"/>
      <c r="M66" s="518">
        <f t="shared" si="67"/>
        <v>0</v>
      </c>
      <c r="N66" s="519">
        <f t="shared" si="67"/>
        <v>0</v>
      </c>
      <c r="O66" s="485">
        <f t="shared" si="67"/>
        <v>0</v>
      </c>
      <c r="P66" s="485"/>
      <c r="Q66" s="518">
        <f t="shared" si="67"/>
        <v>0</v>
      </c>
      <c r="R66" s="519">
        <f t="shared" si="67"/>
        <v>0</v>
      </c>
      <c r="S66" s="485">
        <f t="shared" si="67"/>
        <v>0</v>
      </c>
      <c r="T66" s="485"/>
      <c r="U66" s="518">
        <f t="shared" si="67"/>
        <v>0</v>
      </c>
      <c r="V66" s="519">
        <f t="shared" si="67"/>
        <v>0</v>
      </c>
      <c r="W66" s="517">
        <f t="shared" si="64"/>
        <v>0</v>
      </c>
      <c r="X66" s="517"/>
      <c r="Y66" s="518">
        <f t="shared" si="64"/>
        <v>0</v>
      </c>
      <c r="Z66" s="519">
        <f t="shared" si="64"/>
        <v>0</v>
      </c>
      <c r="AA66" s="517">
        <f t="shared" si="64"/>
        <v>0</v>
      </c>
      <c r="AB66" s="517"/>
      <c r="AC66" s="518">
        <f t="shared" si="64"/>
        <v>0</v>
      </c>
      <c r="AD66" s="519">
        <f t="shared" si="64"/>
        <v>0</v>
      </c>
      <c r="AE66" s="517">
        <f t="shared" si="64"/>
        <v>0</v>
      </c>
      <c r="AF66" s="517"/>
      <c r="AG66" s="517"/>
      <c r="AH66" s="517"/>
      <c r="AI66" s="485">
        <f t="shared" si="65"/>
        <v>0</v>
      </c>
      <c r="AJ66" s="485">
        <f t="shared" si="66"/>
        <v>0</v>
      </c>
      <c r="AK66" s="485">
        <f t="shared" si="66"/>
        <v>0</v>
      </c>
      <c r="AL66" s="485">
        <f t="shared" si="66"/>
        <v>0</v>
      </c>
      <c r="AM66" s="485"/>
      <c r="AO66" s="549">
        <v>663</v>
      </c>
      <c r="AP66" s="549"/>
      <c r="AQ66" s="498">
        <v>14</v>
      </c>
      <c r="AS66" s="253"/>
      <c r="AT66" s="252"/>
      <c r="AU66" s="493"/>
      <c r="AV66" s="553" t="str">
        <f t="shared" si="62"/>
        <v>Bác sĩ nội trú</v>
      </c>
      <c r="AW66" s="255">
        <f t="shared" si="62"/>
        <v>68</v>
      </c>
      <c r="AX66" s="255">
        <f t="shared" si="62"/>
        <v>3</v>
      </c>
      <c r="AY66" s="255">
        <f t="shared" si="62"/>
        <v>63</v>
      </c>
      <c r="AZ66" s="255">
        <f t="shared" si="62"/>
        <v>1.5</v>
      </c>
      <c r="BA66" s="253"/>
      <c r="BB66" s="253"/>
      <c r="BC66" s="251"/>
    </row>
    <row r="67" spans="1:55" s="498" customFormat="1" ht="13.95" customHeight="1" x14ac:dyDescent="0.3">
      <c r="A67" s="523"/>
      <c r="B67" s="515" t="s">
        <v>643</v>
      </c>
      <c r="C67" s="551">
        <f t="shared" si="67"/>
        <v>1136</v>
      </c>
      <c r="D67" s="524">
        <f t="shared" si="64"/>
        <v>0</v>
      </c>
      <c r="E67" s="523">
        <f t="shared" si="64"/>
        <v>0</v>
      </c>
      <c r="F67" s="534">
        <f t="shared" si="64"/>
        <v>0</v>
      </c>
      <c r="G67" s="523">
        <f t="shared" si="64"/>
        <v>0</v>
      </c>
      <c r="H67" s="523"/>
      <c r="I67" s="523">
        <f t="shared" si="64"/>
        <v>0</v>
      </c>
      <c r="J67" s="540">
        <f t="shared" si="64"/>
        <v>0</v>
      </c>
      <c r="K67" s="523">
        <f t="shared" si="64"/>
        <v>0</v>
      </c>
      <c r="L67" s="523"/>
      <c r="M67" s="485">
        <f t="shared" si="64"/>
        <v>3408</v>
      </c>
      <c r="N67" s="487">
        <f t="shared" si="64"/>
        <v>16257.599999999999</v>
      </c>
      <c r="O67" s="485">
        <f t="shared" si="64"/>
        <v>10161</v>
      </c>
      <c r="P67" s="485"/>
      <c r="Q67" s="518">
        <f t="shared" si="64"/>
        <v>0</v>
      </c>
      <c r="R67" s="519">
        <f t="shared" si="64"/>
        <v>0</v>
      </c>
      <c r="S67" s="485">
        <f t="shared" si="64"/>
        <v>0</v>
      </c>
      <c r="T67" s="485"/>
      <c r="U67" s="518">
        <f t="shared" si="64"/>
        <v>0</v>
      </c>
      <c r="V67" s="519">
        <f t="shared" si="64"/>
        <v>0</v>
      </c>
      <c r="W67" s="485">
        <f t="shared" si="64"/>
        <v>0</v>
      </c>
      <c r="X67" s="485"/>
      <c r="Y67" s="518">
        <f t="shared" si="64"/>
        <v>0</v>
      </c>
      <c r="Z67" s="519">
        <f t="shared" si="64"/>
        <v>0</v>
      </c>
      <c r="AA67" s="517">
        <f t="shared" si="64"/>
        <v>0</v>
      </c>
      <c r="AB67" s="517"/>
      <c r="AC67" s="523">
        <f t="shared" si="64"/>
        <v>0</v>
      </c>
      <c r="AD67" s="540">
        <f t="shared" si="64"/>
        <v>0</v>
      </c>
      <c r="AE67" s="516">
        <f t="shared" si="64"/>
        <v>0</v>
      </c>
      <c r="AF67" s="516"/>
      <c r="AG67" s="516">
        <f t="shared" ref="AG67:AH71" si="68">C67</f>
        <v>1136</v>
      </c>
      <c r="AH67" s="516">
        <f t="shared" si="68"/>
        <v>0</v>
      </c>
      <c r="AI67" s="485">
        <f t="shared" si="65"/>
        <v>29826.6</v>
      </c>
      <c r="AJ67" s="485">
        <f t="shared" si="66"/>
        <v>3408</v>
      </c>
      <c r="AK67" s="485">
        <f t="shared" si="66"/>
        <v>16257.599999999999</v>
      </c>
      <c r="AL67" s="485">
        <f t="shared" si="66"/>
        <v>10161</v>
      </c>
      <c r="AM67" s="485"/>
      <c r="AN67" s="251"/>
      <c r="AO67" s="542">
        <v>1136</v>
      </c>
      <c r="AP67" s="542"/>
      <c r="AQ67" s="498">
        <v>7</v>
      </c>
      <c r="AS67" s="253"/>
      <c r="AT67" s="252"/>
      <c r="AU67" s="493"/>
      <c r="AV67" s="553" t="str">
        <f t="shared" si="62"/>
        <v>Thạc sĩ, chuyên khoa cấp I</v>
      </c>
      <c r="AW67" s="255">
        <f t="shared" si="62"/>
        <v>68</v>
      </c>
      <c r="AX67" s="255">
        <f t="shared" si="62"/>
        <v>2</v>
      </c>
      <c r="AY67" s="255">
        <f t="shared" si="62"/>
        <v>48</v>
      </c>
      <c r="AZ67" s="255">
        <f t="shared" si="62"/>
        <v>1.5</v>
      </c>
      <c r="BA67" s="253"/>
      <c r="BB67" s="253"/>
    </row>
    <row r="68" spans="1:55" ht="13.95" customHeight="1" x14ac:dyDescent="0.3">
      <c r="A68" s="521"/>
      <c r="B68" s="515" t="s">
        <v>644</v>
      </c>
      <c r="C68" s="551">
        <f t="shared" si="67"/>
        <v>1116</v>
      </c>
      <c r="D68" s="524">
        <f t="shared" si="64"/>
        <v>0</v>
      </c>
      <c r="E68" s="532">
        <f t="shared" si="64"/>
        <v>0</v>
      </c>
      <c r="F68" s="533">
        <f t="shared" si="64"/>
        <v>0</v>
      </c>
      <c r="G68" s="532">
        <f t="shared" si="64"/>
        <v>0</v>
      </c>
      <c r="H68" s="532"/>
      <c r="I68" s="532">
        <f t="shared" si="64"/>
        <v>0</v>
      </c>
      <c r="J68" s="541">
        <f t="shared" si="64"/>
        <v>0</v>
      </c>
      <c r="K68" s="532">
        <f t="shared" si="64"/>
        <v>0</v>
      </c>
      <c r="L68" s="532"/>
      <c r="M68" s="532">
        <f t="shared" si="64"/>
        <v>0</v>
      </c>
      <c r="N68" s="541">
        <f t="shared" si="64"/>
        <v>0</v>
      </c>
      <c r="O68" s="532">
        <f t="shared" si="64"/>
        <v>0</v>
      </c>
      <c r="P68" s="532"/>
      <c r="Q68" s="485">
        <f t="shared" si="64"/>
        <v>3348</v>
      </c>
      <c r="R68" s="487">
        <f t="shared" si="64"/>
        <v>15940.8</v>
      </c>
      <c r="S68" s="485">
        <f t="shared" si="64"/>
        <v>9963</v>
      </c>
      <c r="T68" s="485"/>
      <c r="U68" s="518">
        <f t="shared" si="64"/>
        <v>0</v>
      </c>
      <c r="V68" s="519">
        <f t="shared" si="64"/>
        <v>0</v>
      </c>
      <c r="W68" s="485">
        <f t="shared" si="64"/>
        <v>0</v>
      </c>
      <c r="X68" s="485"/>
      <c r="Y68" s="518">
        <f t="shared" si="64"/>
        <v>0</v>
      </c>
      <c r="Z68" s="519">
        <f t="shared" si="64"/>
        <v>0</v>
      </c>
      <c r="AA68" s="485">
        <f t="shared" si="64"/>
        <v>0</v>
      </c>
      <c r="AB68" s="485"/>
      <c r="AC68" s="518">
        <f t="shared" si="64"/>
        <v>0</v>
      </c>
      <c r="AD68" s="519">
        <f t="shared" si="64"/>
        <v>0</v>
      </c>
      <c r="AE68" s="517">
        <f t="shared" si="64"/>
        <v>0</v>
      </c>
      <c r="AF68" s="517"/>
      <c r="AG68" s="516">
        <f t="shared" si="68"/>
        <v>1116</v>
      </c>
      <c r="AH68" s="516">
        <f t="shared" si="68"/>
        <v>0</v>
      </c>
      <c r="AI68" s="485">
        <f t="shared" si="65"/>
        <v>29251.8</v>
      </c>
      <c r="AJ68" s="485">
        <f t="shared" si="66"/>
        <v>3348</v>
      </c>
      <c r="AK68" s="485">
        <f t="shared" si="66"/>
        <v>15940.8</v>
      </c>
      <c r="AL68" s="485">
        <f t="shared" si="66"/>
        <v>9963</v>
      </c>
      <c r="AM68" s="485"/>
      <c r="AN68" s="498"/>
      <c r="AO68" s="542">
        <v>1116</v>
      </c>
      <c r="AP68" s="542"/>
      <c r="AQ68" s="498">
        <v>19</v>
      </c>
      <c r="AR68" s="498"/>
      <c r="AS68" s="496"/>
      <c r="AT68" s="258"/>
      <c r="AU68" s="490"/>
      <c r="AV68" s="552" t="str">
        <f t="shared" si="62"/>
        <v>Tốt nghiệp bác sĩ (TYT tuyến xã và huyện đảo)</v>
      </c>
      <c r="AW68" s="492">
        <f t="shared" si="62"/>
        <v>58</v>
      </c>
      <c r="AX68" s="492">
        <f t="shared" si="62"/>
        <v>4</v>
      </c>
      <c r="AY68" s="492">
        <f t="shared" si="62"/>
        <v>27</v>
      </c>
      <c r="AZ68" s="255">
        <f t="shared" si="62"/>
        <v>1.5</v>
      </c>
      <c r="BA68" s="496"/>
      <c r="BB68" s="496"/>
      <c r="BC68" s="253"/>
    </row>
    <row r="69" spans="1:55" s="498" customFormat="1" ht="13.95" customHeight="1" x14ac:dyDescent="0.3">
      <c r="A69" s="523"/>
      <c r="B69" s="515" t="s">
        <v>645</v>
      </c>
      <c r="C69" s="551">
        <f t="shared" si="67"/>
        <v>1056</v>
      </c>
      <c r="D69" s="524">
        <f t="shared" si="64"/>
        <v>0</v>
      </c>
      <c r="E69" s="523">
        <f t="shared" si="64"/>
        <v>0</v>
      </c>
      <c r="F69" s="534">
        <f t="shared" si="64"/>
        <v>0</v>
      </c>
      <c r="G69" s="523">
        <f t="shared" si="64"/>
        <v>0</v>
      </c>
      <c r="H69" s="523"/>
      <c r="I69" s="523">
        <f t="shared" si="64"/>
        <v>0</v>
      </c>
      <c r="J69" s="540">
        <f t="shared" si="64"/>
        <v>0</v>
      </c>
      <c r="K69" s="523">
        <f t="shared" si="64"/>
        <v>0</v>
      </c>
      <c r="L69" s="523"/>
      <c r="M69" s="523">
        <f t="shared" si="64"/>
        <v>0</v>
      </c>
      <c r="N69" s="540">
        <f t="shared" si="64"/>
        <v>0</v>
      </c>
      <c r="O69" s="523">
        <f t="shared" si="64"/>
        <v>0</v>
      </c>
      <c r="P69" s="523"/>
      <c r="Q69" s="523">
        <f t="shared" si="64"/>
        <v>0</v>
      </c>
      <c r="R69" s="540">
        <f t="shared" si="64"/>
        <v>0</v>
      </c>
      <c r="S69" s="516">
        <f t="shared" si="64"/>
        <v>0</v>
      </c>
      <c r="T69" s="516"/>
      <c r="U69" s="485">
        <f t="shared" si="64"/>
        <v>3168</v>
      </c>
      <c r="V69" s="487">
        <f t="shared" si="64"/>
        <v>15119.999999999998</v>
      </c>
      <c r="W69" s="485">
        <f t="shared" si="64"/>
        <v>9450</v>
      </c>
      <c r="X69" s="485"/>
      <c r="Y69" s="518">
        <f t="shared" si="64"/>
        <v>0</v>
      </c>
      <c r="Z69" s="519">
        <f t="shared" si="64"/>
        <v>0</v>
      </c>
      <c r="AA69" s="485">
        <f t="shared" si="64"/>
        <v>0</v>
      </c>
      <c r="AB69" s="485"/>
      <c r="AC69" s="518">
        <f t="shared" si="64"/>
        <v>0</v>
      </c>
      <c r="AD69" s="519">
        <f t="shared" si="64"/>
        <v>0</v>
      </c>
      <c r="AE69" s="517">
        <f t="shared" si="64"/>
        <v>0</v>
      </c>
      <c r="AF69" s="517"/>
      <c r="AG69" s="516">
        <f t="shared" si="68"/>
        <v>1056</v>
      </c>
      <c r="AH69" s="516">
        <f t="shared" si="68"/>
        <v>0</v>
      </c>
      <c r="AI69" s="485">
        <f t="shared" si="65"/>
        <v>27738</v>
      </c>
      <c r="AJ69" s="485">
        <f t="shared" si="66"/>
        <v>3168</v>
      </c>
      <c r="AK69" s="485">
        <f t="shared" si="66"/>
        <v>15119.999999999998</v>
      </c>
      <c r="AL69" s="485">
        <f t="shared" si="66"/>
        <v>9450</v>
      </c>
      <c r="AM69" s="485"/>
      <c r="AN69" s="251"/>
      <c r="AO69" s="542">
        <v>1056</v>
      </c>
      <c r="AP69" s="542"/>
      <c r="AQ69" s="498">
        <v>7</v>
      </c>
      <c r="AS69" s="253"/>
      <c r="AV69" s="552" t="str">
        <f t="shared" si="62"/>
        <v>Đào tạo chứng chỉ</v>
      </c>
      <c r="AW69" s="492">
        <f t="shared" si="62"/>
        <v>3</v>
      </c>
      <c r="AX69" s="492">
        <f t="shared" si="62"/>
        <v>1</v>
      </c>
      <c r="AY69" s="492">
        <f t="shared" si="62"/>
        <v>0</v>
      </c>
      <c r="AZ69" s="255">
        <f t="shared" si="62"/>
        <v>3</v>
      </c>
      <c r="BA69" s="253"/>
      <c r="BB69" s="253"/>
      <c r="BC69" s="253"/>
    </row>
    <row r="70" spans="1:55" ht="13.95" customHeight="1" x14ac:dyDescent="0.3">
      <c r="A70" s="521"/>
      <c r="B70" s="515" t="s">
        <v>646</v>
      </c>
      <c r="C70" s="551">
        <f t="shared" si="67"/>
        <v>1080</v>
      </c>
      <c r="D70" s="524">
        <f t="shared" si="64"/>
        <v>0</v>
      </c>
      <c r="E70" s="532">
        <f t="shared" si="64"/>
        <v>0</v>
      </c>
      <c r="F70" s="533">
        <f t="shared" si="64"/>
        <v>0</v>
      </c>
      <c r="G70" s="532">
        <f t="shared" si="64"/>
        <v>0</v>
      </c>
      <c r="H70" s="532"/>
      <c r="I70" s="532">
        <f t="shared" si="64"/>
        <v>0</v>
      </c>
      <c r="J70" s="541">
        <f t="shared" si="64"/>
        <v>0</v>
      </c>
      <c r="K70" s="532">
        <f t="shared" si="64"/>
        <v>0</v>
      </c>
      <c r="L70" s="532"/>
      <c r="M70" s="532">
        <f t="shared" si="64"/>
        <v>0</v>
      </c>
      <c r="N70" s="541">
        <f t="shared" si="64"/>
        <v>0</v>
      </c>
      <c r="O70" s="532">
        <f t="shared" si="64"/>
        <v>0</v>
      </c>
      <c r="P70" s="532"/>
      <c r="Q70" s="532">
        <f t="shared" si="64"/>
        <v>0</v>
      </c>
      <c r="R70" s="541">
        <f t="shared" si="64"/>
        <v>0</v>
      </c>
      <c r="S70" s="516">
        <f t="shared" si="64"/>
        <v>0</v>
      </c>
      <c r="T70" s="516"/>
      <c r="U70" s="532">
        <f t="shared" si="64"/>
        <v>0</v>
      </c>
      <c r="V70" s="541">
        <f t="shared" si="64"/>
        <v>0</v>
      </c>
      <c r="W70" s="532">
        <f t="shared" si="64"/>
        <v>0</v>
      </c>
      <c r="X70" s="532"/>
      <c r="Y70" s="485">
        <f t="shared" si="64"/>
        <v>3240</v>
      </c>
      <c r="Z70" s="487">
        <f t="shared" si="64"/>
        <v>15436.8</v>
      </c>
      <c r="AA70" s="485">
        <f t="shared" si="64"/>
        <v>9648</v>
      </c>
      <c r="AB70" s="485"/>
      <c r="AC70" s="518">
        <f t="shared" si="64"/>
        <v>0</v>
      </c>
      <c r="AD70" s="519">
        <f t="shared" si="64"/>
        <v>0</v>
      </c>
      <c r="AE70" s="517">
        <f t="shared" si="64"/>
        <v>0</v>
      </c>
      <c r="AF70" s="517"/>
      <c r="AG70" s="516">
        <f t="shared" si="68"/>
        <v>1080</v>
      </c>
      <c r="AH70" s="516">
        <f t="shared" si="68"/>
        <v>0</v>
      </c>
      <c r="AI70" s="485">
        <f t="shared" si="65"/>
        <v>28324.799999999999</v>
      </c>
      <c r="AJ70" s="485">
        <f t="shared" si="66"/>
        <v>3240</v>
      </c>
      <c r="AK70" s="485">
        <f t="shared" si="66"/>
        <v>15436.8</v>
      </c>
      <c r="AL70" s="485">
        <f t="shared" si="66"/>
        <v>9648</v>
      </c>
      <c r="AM70" s="485"/>
      <c r="AN70" s="498"/>
      <c r="AO70" s="542">
        <v>1080</v>
      </c>
      <c r="AP70" s="542"/>
      <c r="AQ70" s="498">
        <v>18</v>
      </c>
      <c r="AR70" s="498"/>
      <c r="AS70" s="253"/>
      <c r="AT70" s="498"/>
      <c r="AU70" s="498"/>
      <c r="AV70" s="498"/>
      <c r="AW70" s="498"/>
      <c r="AX70" s="498"/>
      <c r="BA70" s="253"/>
      <c r="BB70" s="253"/>
      <c r="BC70" s="496"/>
    </row>
    <row r="71" spans="1:55" s="498" customFormat="1" ht="13.95" customHeight="1" x14ac:dyDescent="0.3">
      <c r="A71" s="523"/>
      <c r="B71" s="515" t="s">
        <v>647</v>
      </c>
      <c r="C71" s="551">
        <f t="shared" si="67"/>
        <v>1072</v>
      </c>
      <c r="D71" s="524">
        <f t="shared" si="64"/>
        <v>0</v>
      </c>
      <c r="E71" s="523">
        <f t="shared" si="64"/>
        <v>0</v>
      </c>
      <c r="F71" s="534">
        <f t="shared" si="64"/>
        <v>0</v>
      </c>
      <c r="G71" s="523">
        <f t="shared" si="64"/>
        <v>0</v>
      </c>
      <c r="H71" s="523"/>
      <c r="I71" s="523">
        <f t="shared" si="64"/>
        <v>0</v>
      </c>
      <c r="J71" s="540">
        <f t="shared" si="64"/>
        <v>0</v>
      </c>
      <c r="K71" s="523">
        <f t="shared" si="64"/>
        <v>0</v>
      </c>
      <c r="L71" s="523"/>
      <c r="M71" s="523">
        <f t="shared" si="64"/>
        <v>0</v>
      </c>
      <c r="N71" s="540">
        <f t="shared" si="64"/>
        <v>0</v>
      </c>
      <c r="O71" s="523">
        <f t="shared" si="64"/>
        <v>0</v>
      </c>
      <c r="P71" s="523"/>
      <c r="Q71" s="523">
        <f t="shared" si="64"/>
        <v>0</v>
      </c>
      <c r="R71" s="540">
        <f t="shared" si="64"/>
        <v>0</v>
      </c>
      <c r="S71" s="516">
        <f t="shared" si="64"/>
        <v>0</v>
      </c>
      <c r="T71" s="516"/>
      <c r="U71" s="523">
        <f t="shared" si="64"/>
        <v>0</v>
      </c>
      <c r="V71" s="540">
        <f t="shared" si="64"/>
        <v>0</v>
      </c>
      <c r="W71" s="523">
        <f t="shared" si="64"/>
        <v>0</v>
      </c>
      <c r="X71" s="523"/>
      <c r="Y71" s="523">
        <f t="shared" si="64"/>
        <v>0</v>
      </c>
      <c r="Z71" s="540">
        <f t="shared" si="64"/>
        <v>0</v>
      </c>
      <c r="AA71" s="485">
        <f t="shared" si="64"/>
        <v>0</v>
      </c>
      <c r="AB71" s="485"/>
      <c r="AC71" s="485">
        <f t="shared" si="64"/>
        <v>3216</v>
      </c>
      <c r="AD71" s="487">
        <f t="shared" si="64"/>
        <v>15335.999999999998</v>
      </c>
      <c r="AE71" s="485">
        <f t="shared" si="64"/>
        <v>9585</v>
      </c>
      <c r="AF71" s="485"/>
      <c r="AG71" s="516">
        <f t="shared" si="68"/>
        <v>1072</v>
      </c>
      <c r="AH71" s="516">
        <f t="shared" si="68"/>
        <v>0</v>
      </c>
      <c r="AI71" s="485">
        <f t="shared" si="65"/>
        <v>28137</v>
      </c>
      <c r="AJ71" s="485">
        <f t="shared" si="66"/>
        <v>3216</v>
      </c>
      <c r="AK71" s="485">
        <f t="shared" si="66"/>
        <v>15335.999999999998</v>
      </c>
      <c r="AL71" s="485">
        <f t="shared" si="66"/>
        <v>9585</v>
      </c>
      <c r="AM71" s="485"/>
      <c r="AN71" s="251"/>
      <c r="AO71" s="542">
        <v>1072</v>
      </c>
      <c r="AP71" s="542"/>
      <c r="AQ71" s="251"/>
      <c r="AR71" s="251"/>
      <c r="AT71" s="251"/>
      <c r="AU71" s="251"/>
      <c r="AV71" s="251"/>
      <c r="AW71" s="251"/>
      <c r="AX71" s="251"/>
      <c r="BC71" s="253"/>
    </row>
    <row r="72" spans="1:55" s="253" customFormat="1" ht="30.45" customHeight="1" x14ac:dyDescent="0.3">
      <c r="A72" s="256"/>
      <c r="B72" s="473" t="s">
        <v>539</v>
      </c>
      <c r="C72" s="259">
        <f>C73+C82+C91+C100+C109+C118</f>
        <v>1868</v>
      </c>
      <c r="D72" s="259">
        <f t="shared" ref="D72:AL72" si="69">D73+D82+D91+D100+D109+D118</f>
        <v>0</v>
      </c>
      <c r="E72" s="259">
        <f t="shared" si="69"/>
        <v>10923.75</v>
      </c>
      <c r="F72" s="259">
        <f t="shared" si="69"/>
        <v>7344</v>
      </c>
      <c r="G72" s="259">
        <f t="shared" si="69"/>
        <v>0</v>
      </c>
      <c r="H72" s="259"/>
      <c r="I72" s="259">
        <f t="shared" si="69"/>
        <v>13738.75</v>
      </c>
      <c r="J72" s="259">
        <f t="shared" si="69"/>
        <v>9168</v>
      </c>
      <c r="K72" s="259">
        <f t="shared" si="69"/>
        <v>4512</v>
      </c>
      <c r="L72" s="259"/>
      <c r="M72" s="259">
        <f t="shared" si="69"/>
        <v>20228.25</v>
      </c>
      <c r="N72" s="259">
        <f t="shared" si="69"/>
        <v>13032</v>
      </c>
      <c r="O72" s="259">
        <f t="shared" si="69"/>
        <v>6300</v>
      </c>
      <c r="P72" s="259"/>
      <c r="Q72" s="259">
        <f t="shared" si="69"/>
        <v>38641.5</v>
      </c>
      <c r="R72" s="259">
        <f t="shared" si="69"/>
        <v>24408</v>
      </c>
      <c r="S72" s="259">
        <f t="shared" si="69"/>
        <v>2758</v>
      </c>
      <c r="T72" s="259"/>
      <c r="U72" s="259">
        <f t="shared" si="69"/>
        <v>49673.25</v>
      </c>
      <c r="V72" s="259">
        <f t="shared" si="69"/>
        <v>31176</v>
      </c>
      <c r="W72" s="259">
        <f t="shared" si="69"/>
        <v>16987</v>
      </c>
      <c r="X72" s="259"/>
      <c r="Y72" s="259">
        <f t="shared" si="69"/>
        <v>50880.25</v>
      </c>
      <c r="Z72" s="259">
        <f t="shared" si="69"/>
        <v>31776</v>
      </c>
      <c r="AA72" s="259">
        <f t="shared" si="69"/>
        <v>17739</v>
      </c>
      <c r="AB72" s="259"/>
      <c r="AC72" s="259">
        <f t="shared" si="69"/>
        <v>51183.75</v>
      </c>
      <c r="AD72" s="259">
        <f t="shared" si="69"/>
        <v>31896</v>
      </c>
      <c r="AE72" s="259">
        <f t="shared" si="69"/>
        <v>19045</v>
      </c>
      <c r="AF72" s="259"/>
      <c r="AG72" s="259">
        <f t="shared" si="69"/>
        <v>1610</v>
      </c>
      <c r="AH72" s="259">
        <f t="shared" si="69"/>
        <v>0</v>
      </c>
      <c r="AI72" s="554">
        <f t="shared" si="69"/>
        <v>405724</v>
      </c>
      <c r="AJ72" s="259">
        <f t="shared" si="69"/>
        <v>210607</v>
      </c>
      <c r="AK72" s="259">
        <f t="shared" si="69"/>
        <v>132288</v>
      </c>
      <c r="AL72" s="259">
        <f t="shared" si="69"/>
        <v>62829</v>
      </c>
      <c r="AM72" s="259"/>
      <c r="AQ72" s="251"/>
      <c r="AR72" s="251"/>
      <c r="AS72" s="251"/>
      <c r="AW72" s="498"/>
      <c r="AX72" s="498"/>
      <c r="AY72" s="251"/>
      <c r="AZ72" s="251"/>
      <c r="BA72" s="251"/>
      <c r="BB72" s="251"/>
    </row>
    <row r="73" spans="1:55" s="253" customFormat="1" ht="13.95" customHeight="1" x14ac:dyDescent="0.3">
      <c r="A73" s="501">
        <v>1</v>
      </c>
      <c r="B73" s="502" t="s">
        <v>29</v>
      </c>
      <c r="C73" s="503">
        <f>SUM(C74:C81)</f>
        <v>78</v>
      </c>
      <c r="D73" s="503">
        <f t="shared" ref="D73:AH73" si="70">SUM(D74:D81)</f>
        <v>0</v>
      </c>
      <c r="E73" s="503">
        <f t="shared" si="70"/>
        <v>131.25</v>
      </c>
      <c r="F73" s="503">
        <f t="shared" si="70"/>
        <v>72</v>
      </c>
      <c r="G73" s="503">
        <f t="shared" si="70"/>
        <v>0</v>
      </c>
      <c r="H73" s="503"/>
      <c r="I73" s="503">
        <f t="shared" si="70"/>
        <v>175</v>
      </c>
      <c r="J73" s="503">
        <f t="shared" si="70"/>
        <v>96</v>
      </c>
      <c r="K73" s="503">
        <f t="shared" si="70"/>
        <v>0</v>
      </c>
      <c r="L73" s="503"/>
      <c r="M73" s="503">
        <f t="shared" si="70"/>
        <v>875</v>
      </c>
      <c r="N73" s="503">
        <f t="shared" si="70"/>
        <v>480</v>
      </c>
      <c r="O73" s="503">
        <f t="shared" si="70"/>
        <v>0</v>
      </c>
      <c r="P73" s="503"/>
      <c r="Q73" s="503">
        <f t="shared" si="70"/>
        <v>2275</v>
      </c>
      <c r="R73" s="503">
        <f t="shared" si="70"/>
        <v>1248</v>
      </c>
      <c r="S73" s="503">
        <f t="shared" si="70"/>
        <v>100</v>
      </c>
      <c r="T73" s="503"/>
      <c r="U73" s="503">
        <f t="shared" si="70"/>
        <v>3500</v>
      </c>
      <c r="V73" s="503">
        <f t="shared" si="70"/>
        <v>1920</v>
      </c>
      <c r="W73" s="503">
        <f t="shared" si="70"/>
        <v>100</v>
      </c>
      <c r="X73" s="503"/>
      <c r="Y73" s="503">
        <f t="shared" si="70"/>
        <v>4681.25</v>
      </c>
      <c r="Z73" s="503">
        <f t="shared" si="70"/>
        <v>2568</v>
      </c>
      <c r="AA73" s="503">
        <f t="shared" si="70"/>
        <v>0</v>
      </c>
      <c r="AB73" s="503"/>
      <c r="AC73" s="503">
        <f t="shared" si="70"/>
        <v>5293.75</v>
      </c>
      <c r="AD73" s="503">
        <f t="shared" si="70"/>
        <v>2904</v>
      </c>
      <c r="AE73" s="503">
        <f t="shared" si="70"/>
        <v>1600</v>
      </c>
      <c r="AF73" s="503"/>
      <c r="AG73" s="503">
        <f t="shared" si="70"/>
        <v>76</v>
      </c>
      <c r="AH73" s="503">
        <f t="shared" si="70"/>
        <v>0</v>
      </c>
      <c r="AI73" s="504">
        <f>SUM(AI74:AI81)</f>
        <v>27545</v>
      </c>
      <c r="AJ73" s="504">
        <f t="shared" ref="AJ73:AL73" si="71">SUM(AJ74:AJ81)</f>
        <v>16625</v>
      </c>
      <c r="AK73" s="504">
        <f t="shared" si="71"/>
        <v>9120</v>
      </c>
      <c r="AL73" s="504">
        <f t="shared" si="71"/>
        <v>1800</v>
      </c>
      <c r="AM73" s="504"/>
      <c r="AQ73" s="251"/>
      <c r="AR73" s="251"/>
      <c r="AS73" s="498"/>
      <c r="AT73" s="498"/>
      <c r="AU73" s="498"/>
      <c r="AV73" s="498"/>
      <c r="AW73" s="498">
        <v>21</v>
      </c>
      <c r="AX73" s="498"/>
      <c r="AY73" s="498"/>
      <c r="AZ73" s="498"/>
      <c r="BA73" s="498"/>
      <c r="BB73" s="498"/>
      <c r="BC73" s="498"/>
    </row>
    <row r="74" spans="1:55" s="496" customFormat="1" ht="13.95" customHeight="1" x14ac:dyDescent="0.3">
      <c r="A74" s="256"/>
      <c r="B74" s="515" t="s">
        <v>639</v>
      </c>
      <c r="C74" s="551">
        <f>'[2]7,9,25 Đào tạo TH'!E8</f>
        <v>1</v>
      </c>
      <c r="D74" s="555"/>
      <c r="E74" s="518">
        <f>($C74*$AW$6)</f>
        <v>87.5</v>
      </c>
      <c r="F74" s="519">
        <f>(4.8*10*$C74)</f>
        <v>48</v>
      </c>
      <c r="G74" s="517"/>
      <c r="H74" s="517"/>
      <c r="I74" s="518">
        <f>E74</f>
        <v>87.5</v>
      </c>
      <c r="J74" s="519">
        <f>F74</f>
        <v>48</v>
      </c>
      <c r="K74" s="517"/>
      <c r="L74" s="517"/>
      <c r="M74" s="518">
        <f>I74</f>
        <v>87.5</v>
      </c>
      <c r="N74" s="519">
        <f>J74</f>
        <v>48</v>
      </c>
      <c r="O74" s="517"/>
      <c r="P74" s="517"/>
      <c r="Q74" s="518">
        <f>M74/2</f>
        <v>43.75</v>
      </c>
      <c r="R74" s="519">
        <f>N74/2</f>
        <v>24</v>
      </c>
      <c r="S74" s="517">
        <f>$C74*$AY$6</f>
        <v>100</v>
      </c>
      <c r="T74" s="517"/>
      <c r="U74" s="518"/>
      <c r="V74" s="519"/>
      <c r="W74" s="517"/>
      <c r="X74" s="517"/>
      <c r="Y74" s="518"/>
      <c r="Z74" s="519"/>
      <c r="AA74" s="485"/>
      <c r="AB74" s="485"/>
      <c r="AC74" s="518"/>
      <c r="AD74" s="519"/>
      <c r="AE74" s="485"/>
      <c r="AF74" s="485"/>
      <c r="AG74" s="485"/>
      <c r="AH74" s="485"/>
      <c r="AI74" s="485">
        <f t="shared" ref="AI74:AI81" si="72">AJ74+AL74+AK74</f>
        <v>303.25</v>
      </c>
      <c r="AJ74" s="485">
        <f t="shared" ref="AJ74:AL81" si="73">M74+Q74+U74+Y74+AC74</f>
        <v>131.25</v>
      </c>
      <c r="AK74" s="485">
        <f t="shared" si="73"/>
        <v>72</v>
      </c>
      <c r="AL74" s="485">
        <f t="shared" si="73"/>
        <v>100</v>
      </c>
      <c r="AM74" s="485"/>
      <c r="AS74" s="498"/>
      <c r="AT74" s="498"/>
      <c r="AU74" s="498"/>
      <c r="AV74" s="498"/>
      <c r="AW74" s="498"/>
      <c r="AX74" s="498"/>
      <c r="AY74" s="498"/>
      <c r="AZ74" s="498"/>
      <c r="BA74" s="251"/>
      <c r="BB74" s="251"/>
      <c r="BC74" s="251"/>
    </row>
    <row r="75" spans="1:55" s="496" customFormat="1" ht="13.95" customHeight="1" x14ac:dyDescent="0.3">
      <c r="A75" s="256"/>
      <c r="B75" s="515" t="s">
        <v>641</v>
      </c>
      <c r="C75" s="551">
        <f>'[2]7,9,25 Đào tạo TH'!F8</f>
        <v>1</v>
      </c>
      <c r="D75" s="555"/>
      <c r="E75" s="518">
        <f>($C75*$AW$6)/2</f>
        <v>43.75</v>
      </c>
      <c r="F75" s="519">
        <f>(4.8*10*$C75)/2</f>
        <v>24</v>
      </c>
      <c r="G75" s="517"/>
      <c r="H75" s="517"/>
      <c r="I75" s="518">
        <f>E75*2</f>
        <v>87.5</v>
      </c>
      <c r="J75" s="519">
        <f>F75*2</f>
        <v>48</v>
      </c>
      <c r="K75" s="517"/>
      <c r="L75" s="517"/>
      <c r="M75" s="518">
        <f>I75</f>
        <v>87.5</v>
      </c>
      <c r="N75" s="519">
        <f>J75</f>
        <v>48</v>
      </c>
      <c r="O75" s="517"/>
      <c r="P75" s="517"/>
      <c r="Q75" s="518">
        <f>M75</f>
        <v>87.5</v>
      </c>
      <c r="R75" s="519">
        <f>N75</f>
        <v>48</v>
      </c>
      <c r="S75" s="517"/>
      <c r="T75" s="517"/>
      <c r="U75" s="518">
        <f>Q75/2</f>
        <v>43.75</v>
      </c>
      <c r="V75" s="519">
        <f>R75/2</f>
        <v>24</v>
      </c>
      <c r="W75" s="517">
        <f>$C75*$AY$6</f>
        <v>100</v>
      </c>
      <c r="X75" s="517"/>
      <c r="Y75" s="518"/>
      <c r="Z75" s="519"/>
      <c r="AA75" s="517"/>
      <c r="AB75" s="517"/>
      <c r="AC75" s="518"/>
      <c r="AD75" s="519"/>
      <c r="AE75" s="485"/>
      <c r="AF75" s="485"/>
      <c r="AG75" s="485"/>
      <c r="AH75" s="485"/>
      <c r="AI75" s="485">
        <f t="shared" si="72"/>
        <v>438.75</v>
      </c>
      <c r="AJ75" s="485">
        <f t="shared" si="73"/>
        <v>218.75</v>
      </c>
      <c r="AK75" s="485">
        <f t="shared" si="73"/>
        <v>120</v>
      </c>
      <c r="AL75" s="485">
        <f t="shared" si="73"/>
        <v>100</v>
      </c>
      <c r="AM75" s="485"/>
      <c r="AS75" s="498"/>
      <c r="AT75" s="498"/>
      <c r="AU75" s="498"/>
      <c r="AV75" s="498"/>
      <c r="AW75" s="498"/>
      <c r="AX75" s="498"/>
      <c r="AY75" s="498"/>
      <c r="AZ75" s="498"/>
      <c r="BA75" s="251"/>
      <c r="BB75" s="251"/>
      <c r="BC75" s="251"/>
    </row>
    <row r="76" spans="1:55" s="253" customFormat="1" ht="13.95" customHeight="1" x14ac:dyDescent="0.3">
      <c r="A76" s="521"/>
      <c r="B76" s="515" t="s">
        <v>642</v>
      </c>
      <c r="C76" s="551">
        <f>'[2]7,9,25 Đào tạo TH'!G8</f>
        <v>0</v>
      </c>
      <c r="D76" s="555"/>
      <c r="E76" s="485"/>
      <c r="F76" s="486"/>
      <c r="G76" s="517"/>
      <c r="H76" s="517"/>
      <c r="I76" s="518">
        <f>($C76*$AW$6)/2</f>
        <v>0</v>
      </c>
      <c r="J76" s="519">
        <f>(4.8*10*$C76)/2</f>
        <v>0</v>
      </c>
      <c r="K76" s="517"/>
      <c r="L76" s="517"/>
      <c r="M76" s="518">
        <f>I76*2</f>
        <v>0</v>
      </c>
      <c r="N76" s="519">
        <f>J76*2</f>
        <v>0</v>
      </c>
      <c r="O76" s="517"/>
      <c r="P76" s="517"/>
      <c r="Q76" s="518">
        <f>M76</f>
        <v>0</v>
      </c>
      <c r="R76" s="519">
        <f>N76</f>
        <v>0</v>
      </c>
      <c r="S76" s="517"/>
      <c r="T76" s="517"/>
      <c r="U76" s="518">
        <f>Q76</f>
        <v>0</v>
      </c>
      <c r="V76" s="519">
        <f>R76</f>
        <v>0</v>
      </c>
      <c r="W76" s="517"/>
      <c r="X76" s="517"/>
      <c r="Y76" s="518">
        <f>U76/2</f>
        <v>0</v>
      </c>
      <c r="Z76" s="519">
        <f>V76/2</f>
        <v>0</v>
      </c>
      <c r="AA76" s="517">
        <f>$C76*$AY$6</f>
        <v>0</v>
      </c>
      <c r="AB76" s="517"/>
      <c r="AC76" s="518"/>
      <c r="AD76" s="519"/>
      <c r="AE76" s="517"/>
      <c r="AF76" s="517"/>
      <c r="AG76" s="517"/>
      <c r="AH76" s="517"/>
      <c r="AI76" s="485">
        <f t="shared" si="72"/>
        <v>0</v>
      </c>
      <c r="AJ76" s="485">
        <f t="shared" si="73"/>
        <v>0</v>
      </c>
      <c r="AK76" s="485">
        <f t="shared" si="73"/>
        <v>0</v>
      </c>
      <c r="AL76" s="485">
        <f t="shared" si="73"/>
        <v>0</v>
      </c>
      <c r="AM76" s="485"/>
      <c r="AN76" s="520" t="s">
        <v>640</v>
      </c>
      <c r="AS76" s="251"/>
      <c r="AT76" s="251"/>
      <c r="AU76" s="251"/>
      <c r="AV76" s="251"/>
      <c r="AW76" s="498"/>
      <c r="AX76" s="498"/>
      <c r="AY76" s="498"/>
      <c r="AZ76" s="498"/>
      <c r="BA76" s="498"/>
      <c r="BB76" s="498"/>
      <c r="BC76" s="498"/>
    </row>
    <row r="77" spans="1:55" s="253" customFormat="1" ht="13.95" customHeight="1" x14ac:dyDescent="0.3">
      <c r="A77" s="523"/>
      <c r="B77" s="515" t="s">
        <v>643</v>
      </c>
      <c r="C77" s="551">
        <f>'[2]7,9,25 Đào tạo TH'!H8</f>
        <v>16</v>
      </c>
      <c r="D77" s="555"/>
      <c r="E77" s="516"/>
      <c r="F77" s="525"/>
      <c r="G77" s="516"/>
      <c r="H77" s="516"/>
      <c r="I77" s="526"/>
      <c r="J77" s="527"/>
      <c r="K77" s="516"/>
      <c r="L77" s="516"/>
      <c r="M77" s="518">
        <f>($C77*$AW$6)/2</f>
        <v>700</v>
      </c>
      <c r="N77" s="519">
        <f>(4.8*10*$C77)/2</f>
        <v>384</v>
      </c>
      <c r="O77" s="517"/>
      <c r="P77" s="517"/>
      <c r="Q77" s="518">
        <f>M77*2</f>
        <v>1400</v>
      </c>
      <c r="R77" s="519">
        <f>N77*2</f>
        <v>768</v>
      </c>
      <c r="S77" s="517"/>
      <c r="T77" s="517"/>
      <c r="U77" s="518">
        <f>Q77</f>
        <v>1400</v>
      </c>
      <c r="V77" s="519">
        <f>R77</f>
        <v>768</v>
      </c>
      <c r="W77" s="517"/>
      <c r="X77" s="517"/>
      <c r="Y77" s="518">
        <f>U77</f>
        <v>1400</v>
      </c>
      <c r="Z77" s="519">
        <f>V77</f>
        <v>768</v>
      </c>
      <c r="AA77" s="517"/>
      <c r="AB77" s="517"/>
      <c r="AC77" s="518">
        <f>Y77/2</f>
        <v>700</v>
      </c>
      <c r="AD77" s="519">
        <f>Z77/2</f>
        <v>384</v>
      </c>
      <c r="AE77" s="517">
        <f>$C77*$AY$6</f>
        <v>1600</v>
      </c>
      <c r="AF77" s="517"/>
      <c r="AG77" s="556">
        <f t="shared" ref="AG77:AH81" si="74">C77</f>
        <v>16</v>
      </c>
      <c r="AH77" s="556">
        <f t="shared" si="74"/>
        <v>0</v>
      </c>
      <c r="AI77" s="485">
        <f t="shared" si="72"/>
        <v>10272</v>
      </c>
      <c r="AJ77" s="485">
        <f t="shared" si="73"/>
        <v>5600</v>
      </c>
      <c r="AK77" s="485">
        <f t="shared" si="73"/>
        <v>3072</v>
      </c>
      <c r="AL77" s="485">
        <f t="shared" si="73"/>
        <v>1600</v>
      </c>
      <c r="AM77" s="485"/>
      <c r="AN77" s="498"/>
      <c r="AT77" s="498"/>
      <c r="AU77" s="498"/>
      <c r="AV77" s="498"/>
      <c r="AW77" s="498"/>
      <c r="AX77" s="498"/>
      <c r="AY77" s="251"/>
      <c r="AZ77" s="251"/>
      <c r="BA77" s="251"/>
      <c r="BB77" s="251"/>
      <c r="BC77" s="251"/>
    </row>
    <row r="78" spans="1:55" s="498" customFormat="1" ht="13.95" customHeight="1" x14ac:dyDescent="0.3">
      <c r="A78" s="521"/>
      <c r="B78" s="515" t="s">
        <v>644</v>
      </c>
      <c r="C78" s="551">
        <f>'[2]7,9,25 Đào tạo TH'!I8</f>
        <v>17</v>
      </c>
      <c r="D78" s="555"/>
      <c r="E78" s="517"/>
      <c r="F78" s="486"/>
      <c r="G78" s="517"/>
      <c r="H78" s="517"/>
      <c r="I78" s="518"/>
      <c r="J78" s="519"/>
      <c r="K78" s="517"/>
      <c r="L78" s="517"/>
      <c r="M78" s="518"/>
      <c r="N78" s="519"/>
      <c r="O78" s="517"/>
      <c r="P78" s="517"/>
      <c r="Q78" s="518">
        <f>($C78*$AW$6)/2</f>
        <v>743.75</v>
      </c>
      <c r="R78" s="519">
        <f>(4.8*10*$C78)/2</f>
        <v>408</v>
      </c>
      <c r="S78" s="517"/>
      <c r="T78" s="517"/>
      <c r="U78" s="518">
        <f>Q78*2</f>
        <v>1487.5</v>
      </c>
      <c r="V78" s="519">
        <f>R78*2</f>
        <v>816</v>
      </c>
      <c r="W78" s="517"/>
      <c r="X78" s="517"/>
      <c r="Y78" s="518">
        <f>U78</f>
        <v>1487.5</v>
      </c>
      <c r="Z78" s="519">
        <f>V78</f>
        <v>816</v>
      </c>
      <c r="AA78" s="517"/>
      <c r="AB78" s="517"/>
      <c r="AC78" s="518">
        <f>Y78</f>
        <v>1487.5</v>
      </c>
      <c r="AD78" s="519">
        <f>Z78</f>
        <v>816</v>
      </c>
      <c r="AE78" s="528"/>
      <c r="AF78" s="517"/>
      <c r="AG78" s="556">
        <f t="shared" si="74"/>
        <v>17</v>
      </c>
      <c r="AH78" s="556">
        <f t="shared" si="74"/>
        <v>0</v>
      </c>
      <c r="AI78" s="485">
        <f t="shared" si="72"/>
        <v>8062.25</v>
      </c>
      <c r="AJ78" s="485">
        <f t="shared" si="73"/>
        <v>5206.25</v>
      </c>
      <c r="AK78" s="485">
        <f t="shared" si="73"/>
        <v>2856</v>
      </c>
      <c r="AL78" s="485">
        <f t="shared" si="73"/>
        <v>0</v>
      </c>
      <c r="AM78" s="485"/>
      <c r="AN78" s="251"/>
      <c r="AT78" s="251"/>
      <c r="AU78" s="251"/>
      <c r="AV78" s="251"/>
      <c r="AW78" s="251"/>
      <c r="AX78" s="251"/>
    </row>
    <row r="79" spans="1:55" ht="13.95" customHeight="1" x14ac:dyDescent="0.3">
      <c r="A79" s="523"/>
      <c r="B79" s="515" t="s">
        <v>645</v>
      </c>
      <c r="C79" s="551">
        <f>'[2]7,9,25 Đào tạo TH'!J8</f>
        <v>13</v>
      </c>
      <c r="D79" s="555"/>
      <c r="E79" s="516"/>
      <c r="F79" s="525"/>
      <c r="G79" s="516"/>
      <c r="H79" s="516"/>
      <c r="I79" s="526"/>
      <c r="J79" s="527"/>
      <c r="K79" s="516"/>
      <c r="L79" s="516"/>
      <c r="M79" s="526"/>
      <c r="N79" s="527"/>
      <c r="O79" s="516"/>
      <c r="P79" s="516"/>
      <c r="Q79" s="526"/>
      <c r="R79" s="519"/>
      <c r="S79" s="557"/>
      <c r="T79" s="557"/>
      <c r="U79" s="518">
        <f>($C79*$AW$6)/2</f>
        <v>568.75</v>
      </c>
      <c r="V79" s="519">
        <f>(4.8*10*$C79)/2</f>
        <v>312</v>
      </c>
      <c r="W79" s="517"/>
      <c r="X79" s="517"/>
      <c r="Y79" s="518">
        <f>U79*2</f>
        <v>1137.5</v>
      </c>
      <c r="Z79" s="519">
        <f>V79*2</f>
        <v>624</v>
      </c>
      <c r="AA79" s="517"/>
      <c r="AB79" s="517"/>
      <c r="AC79" s="518">
        <f>Y79</f>
        <v>1137.5</v>
      </c>
      <c r="AD79" s="519">
        <f>Z79</f>
        <v>624</v>
      </c>
      <c r="AE79" s="528"/>
      <c r="AF79" s="517"/>
      <c r="AG79" s="556">
        <f t="shared" si="74"/>
        <v>13</v>
      </c>
      <c r="AH79" s="556">
        <f t="shared" si="74"/>
        <v>0</v>
      </c>
      <c r="AI79" s="485">
        <f t="shared" si="72"/>
        <v>4403.75</v>
      </c>
      <c r="AJ79" s="485">
        <f t="shared" si="73"/>
        <v>2843.75</v>
      </c>
      <c r="AK79" s="485">
        <f t="shared" si="73"/>
        <v>1560</v>
      </c>
      <c r="AL79" s="485">
        <f t="shared" si="73"/>
        <v>0</v>
      </c>
      <c r="AM79" s="485"/>
      <c r="AS79" s="498"/>
      <c r="AT79" s="498"/>
      <c r="AU79" s="498"/>
      <c r="AV79" s="498"/>
      <c r="AW79" s="498"/>
      <c r="AX79" s="498"/>
      <c r="BA79" s="498"/>
      <c r="BB79" s="498"/>
    </row>
    <row r="80" spans="1:55" s="498" customFormat="1" ht="13.95" customHeight="1" x14ac:dyDescent="0.3">
      <c r="A80" s="521"/>
      <c r="B80" s="515" t="s">
        <v>646</v>
      </c>
      <c r="C80" s="551">
        <f>'[2]7,9,25 Đào tạo TH'!K8</f>
        <v>15</v>
      </c>
      <c r="D80" s="555"/>
      <c r="E80" s="517"/>
      <c r="F80" s="486"/>
      <c r="G80" s="517"/>
      <c r="H80" s="517"/>
      <c r="I80" s="518"/>
      <c r="J80" s="519"/>
      <c r="K80" s="517"/>
      <c r="L80" s="517"/>
      <c r="M80" s="518"/>
      <c r="N80" s="519"/>
      <c r="O80" s="517"/>
      <c r="P80" s="517"/>
      <c r="Q80" s="518"/>
      <c r="R80" s="519"/>
      <c r="S80" s="558"/>
      <c r="T80" s="558"/>
      <c r="U80" s="518"/>
      <c r="V80" s="519"/>
      <c r="W80" s="517"/>
      <c r="X80" s="517"/>
      <c r="Y80" s="518">
        <f>($C80*$AW$6)/2</f>
        <v>656.25</v>
      </c>
      <c r="Z80" s="519">
        <f>(4.8*10*$C80)/2</f>
        <v>360</v>
      </c>
      <c r="AA80" s="517"/>
      <c r="AB80" s="517"/>
      <c r="AC80" s="518">
        <f>Y80*2</f>
        <v>1312.5</v>
      </c>
      <c r="AD80" s="519">
        <f>Z80*2</f>
        <v>720</v>
      </c>
      <c r="AE80" s="528"/>
      <c r="AF80" s="517"/>
      <c r="AG80" s="556">
        <f t="shared" si="74"/>
        <v>15</v>
      </c>
      <c r="AH80" s="556">
        <f t="shared" si="74"/>
        <v>0</v>
      </c>
      <c r="AI80" s="485">
        <f t="shared" si="72"/>
        <v>3048.75</v>
      </c>
      <c r="AJ80" s="485">
        <f t="shared" si="73"/>
        <v>1968.75</v>
      </c>
      <c r="AK80" s="485">
        <f t="shared" si="73"/>
        <v>1080</v>
      </c>
      <c r="AL80" s="485">
        <f t="shared" si="73"/>
        <v>0</v>
      </c>
      <c r="AM80" s="485"/>
      <c r="AN80" s="251"/>
      <c r="AO80" s="251"/>
      <c r="AP80" s="251"/>
      <c r="AS80" s="251"/>
      <c r="AT80" s="251"/>
      <c r="AU80" s="251"/>
      <c r="AV80" s="251"/>
      <c r="AW80" s="251"/>
      <c r="AX80" s="251"/>
    </row>
    <row r="81" spans="1:55" ht="13.95" customHeight="1" x14ac:dyDescent="0.3">
      <c r="A81" s="523"/>
      <c r="B81" s="515" t="s">
        <v>647</v>
      </c>
      <c r="C81" s="551">
        <f>'[2]7,9,25 Đào tạo TH'!L8</f>
        <v>15</v>
      </c>
      <c r="D81" s="555"/>
      <c r="E81" s="516"/>
      <c r="F81" s="525"/>
      <c r="G81" s="516"/>
      <c r="H81" s="516"/>
      <c r="I81" s="526"/>
      <c r="J81" s="527"/>
      <c r="K81" s="516"/>
      <c r="L81" s="516"/>
      <c r="M81" s="526"/>
      <c r="N81" s="527"/>
      <c r="O81" s="516"/>
      <c r="P81" s="516"/>
      <c r="Q81" s="526"/>
      <c r="R81" s="527"/>
      <c r="S81" s="557"/>
      <c r="T81" s="557"/>
      <c r="U81" s="526"/>
      <c r="V81" s="527"/>
      <c r="W81" s="516"/>
      <c r="X81" s="516"/>
      <c r="Y81" s="526"/>
      <c r="Z81" s="527"/>
      <c r="AA81" s="516"/>
      <c r="AB81" s="516"/>
      <c r="AC81" s="518">
        <f>($C81*$AW$6)/2</f>
        <v>656.25</v>
      </c>
      <c r="AD81" s="519">
        <f>(4.8*10*$C81)/2</f>
        <v>360</v>
      </c>
      <c r="AE81" s="528"/>
      <c r="AF81" s="517"/>
      <c r="AG81" s="556">
        <f t="shared" si="74"/>
        <v>15</v>
      </c>
      <c r="AH81" s="556">
        <f t="shared" si="74"/>
        <v>0</v>
      </c>
      <c r="AI81" s="485">
        <f t="shared" si="72"/>
        <v>1016.25</v>
      </c>
      <c r="AJ81" s="485">
        <f t="shared" si="73"/>
        <v>656.25</v>
      </c>
      <c r="AK81" s="485">
        <f t="shared" si="73"/>
        <v>360</v>
      </c>
      <c r="AL81" s="485">
        <f t="shared" si="73"/>
        <v>0</v>
      </c>
      <c r="AM81" s="485"/>
      <c r="AN81" s="498"/>
      <c r="AQ81" s="498"/>
      <c r="AR81" s="498"/>
      <c r="AS81" s="498"/>
      <c r="AT81" s="253"/>
      <c r="AU81" s="253"/>
      <c r="AV81" s="253"/>
      <c r="AW81" s="498"/>
      <c r="AX81" s="498"/>
      <c r="BC81" s="498"/>
    </row>
    <row r="82" spans="1:55" s="498" customFormat="1" ht="13.95" customHeight="1" x14ac:dyDescent="0.3">
      <c r="A82" s="501">
        <v>2</v>
      </c>
      <c r="B82" s="502" t="s">
        <v>30</v>
      </c>
      <c r="C82" s="503">
        <f>SUM(C83:C90)</f>
        <v>652</v>
      </c>
      <c r="D82" s="503">
        <f t="shared" ref="D82:AL82" si="75">SUM(D83:D90)</f>
        <v>0</v>
      </c>
      <c r="E82" s="503">
        <f t="shared" si="75"/>
        <v>2187.5</v>
      </c>
      <c r="F82" s="503">
        <f t="shared" si="75"/>
        <v>1200</v>
      </c>
      <c r="G82" s="503">
        <f t="shared" si="75"/>
        <v>0</v>
      </c>
      <c r="H82" s="503"/>
      <c r="I82" s="503">
        <f t="shared" si="75"/>
        <v>3193.75</v>
      </c>
      <c r="J82" s="503">
        <f t="shared" si="75"/>
        <v>1752</v>
      </c>
      <c r="K82" s="503">
        <f t="shared" si="75"/>
        <v>864</v>
      </c>
      <c r="L82" s="503"/>
      <c r="M82" s="503">
        <f t="shared" si="75"/>
        <v>6956.25</v>
      </c>
      <c r="N82" s="503">
        <f t="shared" si="75"/>
        <v>3816</v>
      </c>
      <c r="O82" s="503">
        <f t="shared" si="75"/>
        <v>1872</v>
      </c>
      <c r="P82" s="503"/>
      <c r="Q82" s="503">
        <f t="shared" si="75"/>
        <v>15837.5</v>
      </c>
      <c r="R82" s="503">
        <f t="shared" si="75"/>
        <v>8688</v>
      </c>
      <c r="S82" s="503">
        <f t="shared" si="75"/>
        <v>648</v>
      </c>
      <c r="T82" s="503"/>
      <c r="U82" s="503">
        <f t="shared" si="75"/>
        <v>21131.25</v>
      </c>
      <c r="V82" s="503">
        <f t="shared" si="75"/>
        <v>11592</v>
      </c>
      <c r="W82" s="503">
        <f t="shared" si="75"/>
        <v>8280</v>
      </c>
      <c r="X82" s="503"/>
      <c r="Y82" s="503">
        <f t="shared" si="75"/>
        <v>21525</v>
      </c>
      <c r="Z82" s="503">
        <f t="shared" si="75"/>
        <v>11808</v>
      </c>
      <c r="AA82" s="503">
        <f t="shared" si="75"/>
        <v>8856</v>
      </c>
      <c r="AB82" s="503"/>
      <c r="AC82" s="503">
        <f t="shared" si="75"/>
        <v>21525</v>
      </c>
      <c r="AD82" s="503">
        <f t="shared" si="75"/>
        <v>11808</v>
      </c>
      <c r="AE82" s="503">
        <f t="shared" si="75"/>
        <v>8784</v>
      </c>
      <c r="AF82" s="503"/>
      <c r="AG82" s="503">
        <f t="shared" si="75"/>
        <v>605</v>
      </c>
      <c r="AH82" s="503">
        <f t="shared" si="75"/>
        <v>0</v>
      </c>
      <c r="AI82" s="503">
        <f t="shared" si="75"/>
        <v>163127</v>
      </c>
      <c r="AJ82" s="503">
        <f t="shared" si="75"/>
        <v>86975</v>
      </c>
      <c r="AK82" s="503">
        <f t="shared" si="75"/>
        <v>47712</v>
      </c>
      <c r="AL82" s="503">
        <f t="shared" si="75"/>
        <v>28440</v>
      </c>
      <c r="AM82" s="504"/>
      <c r="AN82" s="251"/>
      <c r="AQ82" s="251"/>
      <c r="AR82" s="251"/>
      <c r="AS82" s="251"/>
      <c r="AT82" s="529"/>
      <c r="AU82" s="529"/>
      <c r="AV82" s="529"/>
      <c r="AW82" s="251"/>
      <c r="AX82" s="251"/>
      <c r="AY82" s="496"/>
      <c r="AZ82" s="496"/>
    </row>
    <row r="83" spans="1:55" ht="13.95" customHeight="1" x14ac:dyDescent="0.3">
      <c r="A83" s="521"/>
      <c r="B83" s="515" t="s">
        <v>639</v>
      </c>
      <c r="C83" s="551">
        <f>'[2]7,9,25 Đào tạo TH'!E11</f>
        <v>12</v>
      </c>
      <c r="D83" s="555"/>
      <c r="E83" s="518">
        <f>($C83*$AW$7)</f>
        <v>1050</v>
      </c>
      <c r="F83" s="519">
        <f>(4.8*10*$C83)</f>
        <v>576</v>
      </c>
      <c r="G83" s="517"/>
      <c r="H83" s="517"/>
      <c r="I83" s="518">
        <f>E83/2</f>
        <v>525</v>
      </c>
      <c r="J83" s="519">
        <f>F83/2</f>
        <v>288</v>
      </c>
      <c r="K83" s="517">
        <f>$C83*$AY$7</f>
        <v>864</v>
      </c>
      <c r="L83" s="517"/>
      <c r="M83" s="518"/>
      <c r="N83" s="519"/>
      <c r="O83" s="517"/>
      <c r="P83" s="517"/>
      <c r="Q83" s="518"/>
      <c r="R83" s="519"/>
      <c r="S83" s="517"/>
      <c r="T83" s="517"/>
      <c r="U83" s="518"/>
      <c r="V83" s="519"/>
      <c r="W83" s="517"/>
      <c r="X83" s="517"/>
      <c r="Y83" s="518"/>
      <c r="Z83" s="519"/>
      <c r="AA83" s="517"/>
      <c r="AB83" s="517"/>
      <c r="AC83" s="518"/>
      <c r="AD83" s="519"/>
      <c r="AE83" s="517"/>
      <c r="AF83" s="517"/>
      <c r="AG83" s="517"/>
      <c r="AH83" s="517"/>
      <c r="AI83" s="485">
        <f t="shared" ref="AI83:AI90" si="76">AJ83+AL83+AK83</f>
        <v>0</v>
      </c>
      <c r="AJ83" s="485">
        <f t="shared" ref="AJ83:AL90" si="77">M83+Q83+U83+Y83+AC83</f>
        <v>0</v>
      </c>
      <c r="AK83" s="485">
        <f t="shared" si="77"/>
        <v>0</v>
      </c>
      <c r="AL83" s="485">
        <f t="shared" si="77"/>
        <v>0</v>
      </c>
      <c r="AM83" s="485"/>
      <c r="AN83" s="530">
        <f>'[4]Đao tao dự kien'!E10</f>
        <v>11</v>
      </c>
      <c r="AQ83" s="253"/>
      <c r="AR83" s="253"/>
      <c r="AS83" s="498"/>
      <c r="AT83" s="253"/>
      <c r="AU83" s="253"/>
      <c r="AV83" s="253"/>
      <c r="AW83" s="496"/>
      <c r="AX83" s="496"/>
      <c r="AY83" s="498"/>
      <c r="AZ83" s="498"/>
    </row>
    <row r="84" spans="1:55" ht="13.95" customHeight="1" x14ac:dyDescent="0.3">
      <c r="A84" s="521"/>
      <c r="B84" s="515" t="s">
        <v>641</v>
      </c>
      <c r="C84" s="551">
        <f>'[2]7,9,25 Đào tạo TH'!F11</f>
        <v>26</v>
      </c>
      <c r="D84" s="555"/>
      <c r="E84" s="518">
        <f>($C84*$AW$7)/2</f>
        <v>1137.5</v>
      </c>
      <c r="F84" s="519">
        <f>(4.8*10*$C84)/2</f>
        <v>624</v>
      </c>
      <c r="G84" s="517"/>
      <c r="H84" s="517"/>
      <c r="I84" s="518">
        <f>($C84*$AW$7)</f>
        <v>2275</v>
      </c>
      <c r="J84" s="519">
        <f>(4.8*10*$C84)</f>
        <v>1248</v>
      </c>
      <c r="K84" s="517"/>
      <c r="L84" s="517"/>
      <c r="M84" s="518">
        <f>I84/2</f>
        <v>1137.5</v>
      </c>
      <c r="N84" s="519">
        <f>J84/2</f>
        <v>624</v>
      </c>
      <c r="O84" s="517">
        <f>$C84*$AY$7</f>
        <v>1872</v>
      </c>
      <c r="P84" s="517"/>
      <c r="Q84" s="518"/>
      <c r="R84" s="519"/>
      <c r="S84" s="517"/>
      <c r="T84" s="517"/>
      <c r="U84" s="518"/>
      <c r="V84" s="519"/>
      <c r="W84" s="517"/>
      <c r="X84" s="517"/>
      <c r="Y84" s="518"/>
      <c r="Z84" s="519"/>
      <c r="AA84" s="517"/>
      <c r="AB84" s="517"/>
      <c r="AC84" s="518"/>
      <c r="AD84" s="519"/>
      <c r="AE84" s="517"/>
      <c r="AF84" s="517"/>
      <c r="AG84" s="517"/>
      <c r="AH84" s="517"/>
      <c r="AI84" s="485">
        <f t="shared" si="76"/>
        <v>3633.5</v>
      </c>
      <c r="AJ84" s="485">
        <f t="shared" si="77"/>
        <v>1137.5</v>
      </c>
      <c r="AK84" s="485">
        <f t="shared" si="77"/>
        <v>624</v>
      </c>
      <c r="AL84" s="485">
        <f t="shared" si="77"/>
        <v>1872</v>
      </c>
      <c r="AM84" s="485"/>
      <c r="AN84" s="530" t="e">
        <f>'[4]Đao tao dự kien'!E11</f>
        <v>#REF!</v>
      </c>
      <c r="AQ84" s="253"/>
      <c r="AR84" s="253"/>
      <c r="AS84" s="498"/>
      <c r="AT84" s="253"/>
      <c r="AU84" s="253"/>
      <c r="AV84" s="253"/>
      <c r="AW84" s="496"/>
      <c r="AX84" s="496"/>
      <c r="AY84" s="498"/>
      <c r="AZ84" s="498"/>
    </row>
    <row r="85" spans="1:55" s="498" customFormat="1" ht="13.95" customHeight="1" x14ac:dyDescent="0.3">
      <c r="A85" s="521"/>
      <c r="B85" s="515" t="s">
        <v>642</v>
      </c>
      <c r="C85" s="551">
        <f>'[2]7,9,25 Đào tạo TH'!G11</f>
        <v>9</v>
      </c>
      <c r="D85" s="555"/>
      <c r="E85" s="532"/>
      <c r="F85" s="533"/>
      <c r="G85" s="532"/>
      <c r="H85" s="532"/>
      <c r="I85" s="518">
        <f>($C85*$AW$7)/2</f>
        <v>393.75</v>
      </c>
      <c r="J85" s="519">
        <f>(4.8*10*$C85)/2</f>
        <v>216</v>
      </c>
      <c r="K85" s="517"/>
      <c r="L85" s="517"/>
      <c r="M85" s="518">
        <f>($C85*$AW$7)</f>
        <v>787.5</v>
      </c>
      <c r="N85" s="519">
        <f>(4.8*10*$C85)</f>
        <v>432</v>
      </c>
      <c r="O85" s="517"/>
      <c r="P85" s="517"/>
      <c r="Q85" s="518">
        <f>M85/2</f>
        <v>393.75</v>
      </c>
      <c r="R85" s="519">
        <f>N85/2</f>
        <v>216</v>
      </c>
      <c r="S85" s="517">
        <f>$C85*$AY$7</f>
        <v>648</v>
      </c>
      <c r="T85" s="517"/>
      <c r="U85" s="518"/>
      <c r="V85" s="519"/>
      <c r="W85" s="517"/>
      <c r="X85" s="517"/>
      <c r="Y85" s="518"/>
      <c r="Z85" s="519"/>
      <c r="AA85" s="517"/>
      <c r="AB85" s="517"/>
      <c r="AC85" s="518"/>
      <c r="AD85" s="519"/>
      <c r="AE85" s="517"/>
      <c r="AF85" s="517"/>
      <c r="AG85" s="517"/>
      <c r="AH85" s="517"/>
      <c r="AI85" s="485">
        <f t="shared" si="76"/>
        <v>2477.25</v>
      </c>
      <c r="AJ85" s="485">
        <f t="shared" si="77"/>
        <v>1181.25</v>
      </c>
      <c r="AK85" s="485">
        <f t="shared" si="77"/>
        <v>648</v>
      </c>
      <c r="AL85" s="485">
        <f t="shared" si="77"/>
        <v>648</v>
      </c>
      <c r="AM85" s="485"/>
      <c r="AN85" s="498">
        <v>8</v>
      </c>
      <c r="AS85" s="251"/>
      <c r="AT85" s="251"/>
      <c r="AU85" s="251"/>
      <c r="AV85" s="251"/>
    </row>
    <row r="86" spans="1:55" s="498" customFormat="1" ht="13.95" customHeight="1" x14ac:dyDescent="0.3">
      <c r="A86" s="523"/>
      <c r="B86" s="515" t="s">
        <v>643</v>
      </c>
      <c r="C86" s="551">
        <f>'[2]7,9,25 Đào tạo TH'!H11</f>
        <v>115</v>
      </c>
      <c r="D86" s="555"/>
      <c r="E86" s="523"/>
      <c r="F86" s="534"/>
      <c r="G86" s="523"/>
      <c r="H86" s="523"/>
      <c r="I86" s="535"/>
      <c r="J86" s="536"/>
      <c r="K86" s="523"/>
      <c r="L86" s="523"/>
      <c r="M86" s="518">
        <f>($C86*$AW$7)/2</f>
        <v>5031.25</v>
      </c>
      <c r="N86" s="519">
        <f>(4.8*10*$C86)/2</f>
        <v>2760</v>
      </c>
      <c r="O86" s="517"/>
      <c r="P86" s="517"/>
      <c r="Q86" s="518">
        <f>($C86*$AW$7)</f>
        <v>10062.5</v>
      </c>
      <c r="R86" s="519">
        <f>(4.8*10*$C86)</f>
        <v>5520</v>
      </c>
      <c r="S86" s="517"/>
      <c r="T86" s="517"/>
      <c r="U86" s="518">
        <f>Q86/2</f>
        <v>5031.25</v>
      </c>
      <c r="V86" s="519">
        <f>R86/2</f>
        <v>2760</v>
      </c>
      <c r="W86" s="517">
        <f>$C86*$AY$7</f>
        <v>8280</v>
      </c>
      <c r="X86" s="517"/>
      <c r="Y86" s="518"/>
      <c r="Z86" s="519"/>
      <c r="AA86" s="517"/>
      <c r="AB86" s="517"/>
      <c r="AC86" s="526"/>
      <c r="AD86" s="527"/>
      <c r="AE86" s="516"/>
      <c r="AF86" s="516"/>
      <c r="AG86" s="556">
        <f t="shared" ref="AG86:AH90" si="78">C86</f>
        <v>115</v>
      </c>
      <c r="AH86" s="556">
        <f t="shared" si="78"/>
        <v>0</v>
      </c>
      <c r="AI86" s="485">
        <f t="shared" si="76"/>
        <v>39445</v>
      </c>
      <c r="AJ86" s="485">
        <f t="shared" si="77"/>
        <v>20125</v>
      </c>
      <c r="AK86" s="485">
        <f t="shared" si="77"/>
        <v>11040</v>
      </c>
      <c r="AL86" s="485">
        <f t="shared" si="77"/>
        <v>8280</v>
      </c>
      <c r="AM86" s="485"/>
      <c r="AN86" s="498">
        <v>12</v>
      </c>
      <c r="AS86" s="253"/>
      <c r="AY86" s="251"/>
      <c r="AZ86" s="251"/>
      <c r="BA86" s="251"/>
      <c r="BB86" s="251"/>
      <c r="BC86" s="251"/>
    </row>
    <row r="87" spans="1:55" s="498" customFormat="1" ht="13.95" customHeight="1" x14ac:dyDescent="0.3">
      <c r="A87" s="521"/>
      <c r="B87" s="515" t="s">
        <v>644</v>
      </c>
      <c r="C87" s="551">
        <f>'[2]7,9,25 Đào tạo TH'!I11</f>
        <v>123</v>
      </c>
      <c r="D87" s="555"/>
      <c r="E87" s="532"/>
      <c r="F87" s="533"/>
      <c r="G87" s="532"/>
      <c r="H87" s="532"/>
      <c r="I87" s="537"/>
      <c r="J87" s="538"/>
      <c r="K87" s="532"/>
      <c r="L87" s="532"/>
      <c r="M87" s="537"/>
      <c r="N87" s="538"/>
      <c r="O87" s="532"/>
      <c r="P87" s="532"/>
      <c r="Q87" s="518">
        <f>($C87*$AW$7)/2</f>
        <v>5381.25</v>
      </c>
      <c r="R87" s="519">
        <f>(4.8*10*$C87)/2</f>
        <v>2952</v>
      </c>
      <c r="S87" s="517"/>
      <c r="T87" s="517"/>
      <c r="U87" s="518">
        <f>($C87*$AW$7)</f>
        <v>10762.5</v>
      </c>
      <c r="V87" s="519">
        <f>(4.8*10*$C87)</f>
        <v>5904</v>
      </c>
      <c r="W87" s="517"/>
      <c r="X87" s="517"/>
      <c r="Y87" s="518">
        <f>U87/2</f>
        <v>5381.25</v>
      </c>
      <c r="Z87" s="519">
        <f>V87/2</f>
        <v>2952</v>
      </c>
      <c r="AA87" s="517">
        <f>$C87*$AY$7</f>
        <v>8856</v>
      </c>
      <c r="AB87" s="517"/>
      <c r="AC87" s="518"/>
      <c r="AD87" s="519"/>
      <c r="AE87" s="517"/>
      <c r="AF87" s="517"/>
      <c r="AG87" s="556">
        <f t="shared" si="78"/>
        <v>123</v>
      </c>
      <c r="AH87" s="556">
        <f t="shared" si="78"/>
        <v>0</v>
      </c>
      <c r="AI87" s="485">
        <f t="shared" si="76"/>
        <v>42189</v>
      </c>
      <c r="AJ87" s="485">
        <f t="shared" si="77"/>
        <v>21525</v>
      </c>
      <c r="AK87" s="485">
        <f t="shared" si="77"/>
        <v>11808</v>
      </c>
      <c r="AL87" s="485">
        <f t="shared" si="77"/>
        <v>8856</v>
      </c>
      <c r="AM87" s="485"/>
      <c r="AN87" s="498">
        <v>45</v>
      </c>
      <c r="AQ87" s="251"/>
      <c r="AR87" s="251"/>
      <c r="AS87" s="529"/>
      <c r="AT87" s="251"/>
      <c r="AU87" s="251"/>
      <c r="AV87" s="251"/>
      <c r="AW87" s="251"/>
      <c r="AX87" s="251"/>
      <c r="BA87" s="496"/>
      <c r="BB87" s="496"/>
    </row>
    <row r="88" spans="1:55" ht="13.95" customHeight="1" x14ac:dyDescent="0.3">
      <c r="A88" s="523"/>
      <c r="B88" s="515" t="s">
        <v>645</v>
      </c>
      <c r="C88" s="551">
        <f>'[2]7,9,25 Đào tạo TH'!J11</f>
        <v>122</v>
      </c>
      <c r="D88" s="555"/>
      <c r="E88" s="523"/>
      <c r="F88" s="534"/>
      <c r="G88" s="523"/>
      <c r="H88" s="523"/>
      <c r="I88" s="535"/>
      <c r="J88" s="536"/>
      <c r="K88" s="523"/>
      <c r="L88" s="523"/>
      <c r="M88" s="535"/>
      <c r="N88" s="536"/>
      <c r="O88" s="523"/>
      <c r="P88" s="523"/>
      <c r="Q88" s="535"/>
      <c r="R88" s="536"/>
      <c r="S88" s="523"/>
      <c r="T88" s="523"/>
      <c r="U88" s="518">
        <f>($C88*$AW$7)/2</f>
        <v>5337.5</v>
      </c>
      <c r="V88" s="519">
        <f>(4.8*10*$C88)/2</f>
        <v>2928</v>
      </c>
      <c r="W88" s="517"/>
      <c r="X88" s="517"/>
      <c r="Y88" s="518">
        <f>($C88*$AW$7)</f>
        <v>10675</v>
      </c>
      <c r="Z88" s="519">
        <f>(4.8*10*$C88)</f>
        <v>5856</v>
      </c>
      <c r="AA88" s="517"/>
      <c r="AB88" s="517"/>
      <c r="AC88" s="518">
        <f>Y88/2</f>
        <v>5337.5</v>
      </c>
      <c r="AD88" s="519">
        <f>Z88/2</f>
        <v>2928</v>
      </c>
      <c r="AE88" s="517">
        <f>$C88*$AY$7</f>
        <v>8784</v>
      </c>
      <c r="AF88" s="517"/>
      <c r="AG88" s="556">
        <f t="shared" si="78"/>
        <v>122</v>
      </c>
      <c r="AH88" s="556">
        <f t="shared" si="78"/>
        <v>0</v>
      </c>
      <c r="AI88" s="485">
        <f t="shared" si="76"/>
        <v>41846</v>
      </c>
      <c r="AJ88" s="485">
        <f t="shared" si="77"/>
        <v>21350</v>
      </c>
      <c r="AK88" s="485">
        <f t="shared" si="77"/>
        <v>11712</v>
      </c>
      <c r="AL88" s="485">
        <f t="shared" si="77"/>
        <v>8784</v>
      </c>
      <c r="AM88" s="485"/>
      <c r="AN88" s="498">
        <v>32</v>
      </c>
      <c r="AQ88" s="498"/>
      <c r="AR88" s="498"/>
      <c r="AS88" s="253"/>
      <c r="AT88" s="498"/>
      <c r="AU88" s="498"/>
      <c r="AV88" s="498"/>
      <c r="AW88" s="498"/>
      <c r="AX88" s="498"/>
      <c r="BA88" s="498"/>
      <c r="BB88" s="498"/>
    </row>
    <row r="89" spans="1:55" s="498" customFormat="1" ht="13.95" customHeight="1" x14ac:dyDescent="0.3">
      <c r="A89" s="521"/>
      <c r="B89" s="515" t="s">
        <v>646</v>
      </c>
      <c r="C89" s="551">
        <f>'[2]7,9,25 Đào tạo TH'!K11</f>
        <v>125</v>
      </c>
      <c r="D89" s="555"/>
      <c r="E89" s="532"/>
      <c r="F89" s="533"/>
      <c r="G89" s="532"/>
      <c r="H89" s="532"/>
      <c r="I89" s="537"/>
      <c r="J89" s="538"/>
      <c r="K89" s="532"/>
      <c r="L89" s="532"/>
      <c r="M89" s="537"/>
      <c r="N89" s="538"/>
      <c r="O89" s="532"/>
      <c r="P89" s="532"/>
      <c r="Q89" s="537"/>
      <c r="R89" s="538"/>
      <c r="S89" s="532"/>
      <c r="T89" s="532"/>
      <c r="U89" s="537"/>
      <c r="V89" s="538"/>
      <c r="W89" s="532"/>
      <c r="X89" s="532"/>
      <c r="Y89" s="518">
        <f>($C89*$AW$7)/2</f>
        <v>5468.75</v>
      </c>
      <c r="Z89" s="519">
        <f>(4.8*10*$C89)/2</f>
        <v>3000</v>
      </c>
      <c r="AA89" s="517"/>
      <c r="AB89" s="517"/>
      <c r="AC89" s="518">
        <f>($C89*$AW$7)</f>
        <v>10937.5</v>
      </c>
      <c r="AD89" s="519">
        <f>(4.8*10*$C89)</f>
        <v>6000</v>
      </c>
      <c r="AE89" s="528"/>
      <c r="AF89" s="517"/>
      <c r="AG89" s="556">
        <f t="shared" si="78"/>
        <v>125</v>
      </c>
      <c r="AH89" s="556">
        <f t="shared" si="78"/>
        <v>0</v>
      </c>
      <c r="AI89" s="485">
        <f t="shared" si="76"/>
        <v>25406.25</v>
      </c>
      <c r="AJ89" s="485">
        <f t="shared" si="77"/>
        <v>16406.25</v>
      </c>
      <c r="AK89" s="485">
        <f t="shared" si="77"/>
        <v>9000</v>
      </c>
      <c r="AL89" s="485">
        <f t="shared" si="77"/>
        <v>0</v>
      </c>
      <c r="AM89" s="485"/>
      <c r="AN89" s="498">
        <v>32</v>
      </c>
      <c r="AQ89" s="251"/>
      <c r="AR89" s="251"/>
      <c r="AS89" s="251"/>
      <c r="AT89" s="251"/>
      <c r="AU89" s="251"/>
      <c r="AV89" s="251"/>
      <c r="AW89" s="251"/>
      <c r="AX89" s="251"/>
      <c r="BC89" s="496"/>
    </row>
    <row r="90" spans="1:55" ht="13.95" customHeight="1" x14ac:dyDescent="0.3">
      <c r="A90" s="523"/>
      <c r="B90" s="515" t="s">
        <v>647</v>
      </c>
      <c r="C90" s="551">
        <f>'[2]7,9,25 Đào tạo TH'!L11</f>
        <v>120</v>
      </c>
      <c r="D90" s="555"/>
      <c r="E90" s="523"/>
      <c r="F90" s="534"/>
      <c r="G90" s="523"/>
      <c r="H90" s="523"/>
      <c r="I90" s="535"/>
      <c r="J90" s="536"/>
      <c r="K90" s="523"/>
      <c r="L90" s="523"/>
      <c r="M90" s="535"/>
      <c r="N90" s="536"/>
      <c r="O90" s="523"/>
      <c r="P90" s="523"/>
      <c r="Q90" s="535"/>
      <c r="R90" s="536"/>
      <c r="S90" s="523"/>
      <c r="T90" s="523"/>
      <c r="U90" s="535"/>
      <c r="V90" s="536"/>
      <c r="W90" s="523"/>
      <c r="X90" s="523"/>
      <c r="Y90" s="535"/>
      <c r="Z90" s="536"/>
      <c r="AA90" s="516"/>
      <c r="AB90" s="516"/>
      <c r="AC90" s="518">
        <f>($C90*$AW$7)/2</f>
        <v>5250</v>
      </c>
      <c r="AD90" s="519">
        <f>(4.8*10*$C90)/2</f>
        <v>2880</v>
      </c>
      <c r="AE90" s="528"/>
      <c r="AF90" s="517"/>
      <c r="AG90" s="556">
        <f t="shared" si="78"/>
        <v>120</v>
      </c>
      <c r="AH90" s="556">
        <f t="shared" si="78"/>
        <v>0</v>
      </c>
      <c r="AI90" s="485">
        <f t="shared" si="76"/>
        <v>8130</v>
      </c>
      <c r="AJ90" s="485">
        <f t="shared" si="77"/>
        <v>5250</v>
      </c>
      <c r="AK90" s="485">
        <f t="shared" si="77"/>
        <v>2880</v>
      </c>
      <c r="AL90" s="485">
        <f t="shared" si="77"/>
        <v>0</v>
      </c>
      <c r="AM90" s="485"/>
      <c r="AN90" s="498">
        <v>24</v>
      </c>
      <c r="AQ90" s="498"/>
      <c r="AR90" s="498"/>
      <c r="AS90" s="498"/>
      <c r="AT90" s="253"/>
      <c r="AU90" s="253"/>
      <c r="AV90" s="253"/>
      <c r="AW90" s="498"/>
      <c r="AX90" s="498"/>
      <c r="BC90" s="498"/>
    </row>
    <row r="91" spans="1:55" s="498" customFormat="1" ht="13.95" customHeight="1" x14ac:dyDescent="0.3">
      <c r="A91" s="501">
        <v>3</v>
      </c>
      <c r="B91" s="502" t="s">
        <v>31</v>
      </c>
      <c r="C91" s="503">
        <f>SUM(C92:C99)</f>
        <v>56</v>
      </c>
      <c r="D91" s="503">
        <f t="shared" ref="D91:AL91" si="79">SUM(D92:D99)</f>
        <v>0</v>
      </c>
      <c r="E91" s="503">
        <f t="shared" si="79"/>
        <v>476</v>
      </c>
      <c r="F91" s="503">
        <f t="shared" si="79"/>
        <v>336</v>
      </c>
      <c r="G91" s="503">
        <f t="shared" si="79"/>
        <v>0</v>
      </c>
      <c r="H91" s="503"/>
      <c r="I91" s="503">
        <f t="shared" si="79"/>
        <v>714</v>
      </c>
      <c r="J91" s="503">
        <f t="shared" si="79"/>
        <v>504</v>
      </c>
      <c r="K91" s="503">
        <f t="shared" si="79"/>
        <v>0</v>
      </c>
      <c r="L91" s="503"/>
      <c r="M91" s="503">
        <f t="shared" si="79"/>
        <v>1054</v>
      </c>
      <c r="N91" s="503">
        <f t="shared" si="79"/>
        <v>744</v>
      </c>
      <c r="O91" s="503">
        <f t="shared" si="79"/>
        <v>252</v>
      </c>
      <c r="P91" s="503"/>
      <c r="Q91" s="503">
        <f t="shared" si="79"/>
        <v>1530</v>
      </c>
      <c r="R91" s="503">
        <f t="shared" si="79"/>
        <v>1080</v>
      </c>
      <c r="S91" s="503">
        <f t="shared" si="79"/>
        <v>378</v>
      </c>
      <c r="T91" s="503"/>
      <c r="U91" s="503">
        <f t="shared" si="79"/>
        <v>1904</v>
      </c>
      <c r="V91" s="503">
        <f t="shared" si="79"/>
        <v>1344</v>
      </c>
      <c r="W91" s="503">
        <f t="shared" si="79"/>
        <v>63</v>
      </c>
      <c r="X91" s="503"/>
      <c r="Y91" s="503">
        <f t="shared" si="79"/>
        <v>1904</v>
      </c>
      <c r="Z91" s="503">
        <f t="shared" si="79"/>
        <v>1344</v>
      </c>
      <c r="AA91" s="503">
        <f t="shared" si="79"/>
        <v>819</v>
      </c>
      <c r="AB91" s="503"/>
      <c r="AC91" s="503">
        <f t="shared" si="79"/>
        <v>1564</v>
      </c>
      <c r="AD91" s="503">
        <f t="shared" si="79"/>
        <v>1104</v>
      </c>
      <c r="AE91" s="503">
        <f t="shared" si="79"/>
        <v>693</v>
      </c>
      <c r="AF91" s="503"/>
      <c r="AG91" s="503">
        <f t="shared" si="79"/>
        <v>45</v>
      </c>
      <c r="AH91" s="503">
        <f t="shared" si="79"/>
        <v>0</v>
      </c>
      <c r="AI91" s="503">
        <f t="shared" si="79"/>
        <v>15777</v>
      </c>
      <c r="AJ91" s="503">
        <f t="shared" si="79"/>
        <v>7956</v>
      </c>
      <c r="AK91" s="503">
        <f t="shared" si="79"/>
        <v>5616</v>
      </c>
      <c r="AL91" s="503">
        <f t="shared" si="79"/>
        <v>2205</v>
      </c>
      <c r="AM91" s="504"/>
      <c r="AN91" s="498">
        <v>21</v>
      </c>
      <c r="AQ91" s="251"/>
      <c r="AR91" s="251"/>
      <c r="AS91" s="251"/>
      <c r="AT91" s="539"/>
      <c r="AU91" s="539"/>
      <c r="AV91" s="539"/>
      <c r="AW91" s="539"/>
      <c r="AX91" s="539"/>
      <c r="AY91" s="539">
        <v>36</v>
      </c>
      <c r="AZ91" s="539">
        <v>36</v>
      </c>
    </row>
    <row r="92" spans="1:55" ht="13.95" customHeight="1" x14ac:dyDescent="0.3">
      <c r="A92" s="521"/>
      <c r="B92" s="515" t="s">
        <v>639</v>
      </c>
      <c r="C92" s="551">
        <f>'[2]7,9,25 Đào tạo TH'!E14</f>
        <v>4</v>
      </c>
      <c r="D92" s="555"/>
      <c r="E92" s="485">
        <f>($C92*$AW$8)</f>
        <v>272</v>
      </c>
      <c r="F92" s="486">
        <f>(4.8*10*$C92)</f>
        <v>192</v>
      </c>
      <c r="G92" s="517"/>
      <c r="H92" s="517"/>
      <c r="I92" s="518">
        <f>E92</f>
        <v>272</v>
      </c>
      <c r="J92" s="519">
        <f>F92</f>
        <v>192</v>
      </c>
      <c r="K92" s="517"/>
      <c r="L92" s="517"/>
      <c r="M92" s="485">
        <f>($C92*$AW$8)/2</f>
        <v>136</v>
      </c>
      <c r="N92" s="486">
        <f>(4.8*10*$C92)/2</f>
        <v>96</v>
      </c>
      <c r="O92" s="517">
        <f>($C92-$D92)*$AY$8</f>
        <v>252</v>
      </c>
      <c r="P92" s="517"/>
      <c r="Q92" s="485"/>
      <c r="R92" s="486"/>
      <c r="S92" s="517"/>
      <c r="T92" s="517"/>
      <c r="U92" s="518"/>
      <c r="V92" s="519"/>
      <c r="W92" s="517"/>
      <c r="X92" s="517"/>
      <c r="Y92" s="518"/>
      <c r="Z92" s="519"/>
      <c r="AA92" s="517"/>
      <c r="AB92" s="517"/>
      <c r="AC92" s="518"/>
      <c r="AD92" s="519"/>
      <c r="AE92" s="517"/>
      <c r="AF92" s="517"/>
      <c r="AG92" s="517"/>
      <c r="AH92" s="517"/>
      <c r="AI92" s="485">
        <f t="shared" ref="AI92:AI99" si="80">AJ92+AL92+AK92</f>
        <v>484</v>
      </c>
      <c r="AJ92" s="485">
        <f t="shared" ref="AJ92:AL99" si="81">M92+Q92+U92+Y92+AC92</f>
        <v>136</v>
      </c>
      <c r="AK92" s="485">
        <f t="shared" si="81"/>
        <v>96</v>
      </c>
      <c r="AL92" s="485">
        <f t="shared" si="81"/>
        <v>252</v>
      </c>
      <c r="AM92" s="485"/>
      <c r="AN92" s="496"/>
      <c r="AQ92" s="253"/>
      <c r="AR92" s="253"/>
      <c r="AS92" s="498"/>
      <c r="AT92" s="539"/>
      <c r="AU92" s="539"/>
      <c r="AV92" s="539"/>
      <c r="AW92" s="539"/>
      <c r="AX92" s="539"/>
      <c r="AY92" s="539">
        <v>2</v>
      </c>
      <c r="AZ92" s="539">
        <v>2</v>
      </c>
    </row>
    <row r="93" spans="1:55" ht="13.95" customHeight="1" x14ac:dyDescent="0.3">
      <c r="A93" s="521"/>
      <c r="B93" s="515" t="s">
        <v>641</v>
      </c>
      <c r="C93" s="551">
        <f>'[2]7,9,25 Đào tạo TH'!F14</f>
        <v>6</v>
      </c>
      <c r="D93" s="555"/>
      <c r="E93" s="485">
        <f>($C93*$AW$8)/2</f>
        <v>204</v>
      </c>
      <c r="F93" s="486">
        <f>(4.8*10*$C93)/2</f>
        <v>144</v>
      </c>
      <c r="G93" s="517"/>
      <c r="H93" s="517"/>
      <c r="I93" s="518">
        <f>E93*2</f>
        <v>408</v>
      </c>
      <c r="J93" s="519">
        <f>F93*2</f>
        <v>288</v>
      </c>
      <c r="K93" s="517"/>
      <c r="L93" s="517"/>
      <c r="M93" s="518">
        <f>I93</f>
        <v>408</v>
      </c>
      <c r="N93" s="519">
        <f>J93</f>
        <v>288</v>
      </c>
      <c r="O93" s="517"/>
      <c r="P93" s="517"/>
      <c r="Q93" s="485">
        <f>($C93*$AW$8)/2</f>
        <v>204</v>
      </c>
      <c r="R93" s="486">
        <f>(4.8*10*$C93)/2</f>
        <v>144</v>
      </c>
      <c r="S93" s="517">
        <f>($C93-$D93)*$AY$8</f>
        <v>378</v>
      </c>
      <c r="T93" s="517"/>
      <c r="U93" s="518"/>
      <c r="V93" s="519"/>
      <c r="W93" s="517"/>
      <c r="X93" s="517"/>
      <c r="Y93" s="518"/>
      <c r="Z93" s="519"/>
      <c r="AA93" s="517"/>
      <c r="AB93" s="517"/>
      <c r="AC93" s="518"/>
      <c r="AD93" s="519"/>
      <c r="AE93" s="517"/>
      <c r="AF93" s="517"/>
      <c r="AG93" s="517"/>
      <c r="AH93" s="517"/>
      <c r="AI93" s="485">
        <f t="shared" si="80"/>
        <v>1422</v>
      </c>
      <c r="AJ93" s="485">
        <f t="shared" si="81"/>
        <v>612</v>
      </c>
      <c r="AK93" s="485">
        <f t="shared" si="81"/>
        <v>432</v>
      </c>
      <c r="AL93" s="485">
        <f t="shared" si="81"/>
        <v>378</v>
      </c>
      <c r="AM93" s="485"/>
      <c r="AN93" s="496"/>
      <c r="AQ93" s="253"/>
      <c r="AR93" s="253"/>
      <c r="AS93" s="498"/>
      <c r="AT93" s="539"/>
      <c r="AU93" s="539"/>
      <c r="AV93" s="539"/>
      <c r="AW93" s="539"/>
      <c r="AX93" s="539"/>
      <c r="AY93" s="539">
        <v>2</v>
      </c>
      <c r="AZ93" s="539">
        <v>2</v>
      </c>
    </row>
    <row r="94" spans="1:55" s="496" customFormat="1" ht="13.95" customHeight="1" x14ac:dyDescent="0.3">
      <c r="A94" s="521"/>
      <c r="B94" s="515" t="s">
        <v>642</v>
      </c>
      <c r="C94" s="551">
        <f>'[2]7,9,25 Đào tạo TH'!G14</f>
        <v>1</v>
      </c>
      <c r="D94" s="555"/>
      <c r="E94" s="532"/>
      <c r="F94" s="533"/>
      <c r="G94" s="532"/>
      <c r="H94" s="532"/>
      <c r="I94" s="485">
        <f>($C94*$AW$8)/2</f>
        <v>34</v>
      </c>
      <c r="J94" s="486">
        <f>(4.8*10*$C94)/2</f>
        <v>24</v>
      </c>
      <c r="K94" s="517"/>
      <c r="L94" s="517"/>
      <c r="M94" s="518">
        <f>I94*2</f>
        <v>68</v>
      </c>
      <c r="N94" s="519">
        <f>J94*2</f>
        <v>48</v>
      </c>
      <c r="O94" s="517"/>
      <c r="P94" s="517"/>
      <c r="Q94" s="518">
        <f>M94</f>
        <v>68</v>
      </c>
      <c r="R94" s="519">
        <f>N94</f>
        <v>48</v>
      </c>
      <c r="S94" s="517"/>
      <c r="T94" s="517"/>
      <c r="U94" s="485">
        <f>($C94*$AW$8)/2</f>
        <v>34</v>
      </c>
      <c r="V94" s="486">
        <f>(4.8*10*$C94)/2</f>
        <v>24</v>
      </c>
      <c r="W94" s="517">
        <f>($C94-$D94)*$AY$8</f>
        <v>63</v>
      </c>
      <c r="X94" s="517"/>
      <c r="Y94" s="518"/>
      <c r="Z94" s="519"/>
      <c r="AA94" s="517"/>
      <c r="AB94" s="517"/>
      <c r="AC94" s="518"/>
      <c r="AD94" s="519"/>
      <c r="AE94" s="517"/>
      <c r="AF94" s="517"/>
      <c r="AG94" s="517"/>
      <c r="AH94" s="517"/>
      <c r="AI94" s="485">
        <f t="shared" si="80"/>
        <v>353</v>
      </c>
      <c r="AJ94" s="485">
        <f t="shared" si="81"/>
        <v>170</v>
      </c>
      <c r="AK94" s="485">
        <f t="shared" si="81"/>
        <v>120</v>
      </c>
      <c r="AL94" s="485">
        <f t="shared" si="81"/>
        <v>63</v>
      </c>
      <c r="AM94" s="485"/>
      <c r="AN94" s="498"/>
      <c r="AQ94" s="529"/>
      <c r="AR94" s="529"/>
      <c r="AS94" s="251"/>
      <c r="AT94" s="539"/>
      <c r="AU94" s="539"/>
      <c r="AV94" s="539"/>
      <c r="AW94" s="539"/>
      <c r="AX94" s="539"/>
      <c r="AY94" s="539">
        <v>6</v>
      </c>
      <c r="AZ94" s="539">
        <v>6</v>
      </c>
      <c r="BA94" s="498"/>
      <c r="BB94" s="498"/>
      <c r="BC94" s="498"/>
    </row>
    <row r="95" spans="1:55" s="498" customFormat="1" ht="13.95" customHeight="1" x14ac:dyDescent="0.3">
      <c r="A95" s="523"/>
      <c r="B95" s="515" t="s">
        <v>643</v>
      </c>
      <c r="C95" s="551">
        <f>'[2]7,9,25 Đào tạo TH'!H14</f>
        <v>13</v>
      </c>
      <c r="D95" s="555"/>
      <c r="E95" s="523"/>
      <c r="F95" s="534"/>
      <c r="G95" s="523"/>
      <c r="H95" s="523"/>
      <c r="I95" s="535"/>
      <c r="J95" s="536"/>
      <c r="K95" s="523"/>
      <c r="L95" s="523"/>
      <c r="M95" s="485">
        <f>($C95*$AW$8)/2</f>
        <v>442</v>
      </c>
      <c r="N95" s="486">
        <f>(4.8*10*$C95)/2</f>
        <v>312</v>
      </c>
      <c r="O95" s="517"/>
      <c r="P95" s="517"/>
      <c r="Q95" s="518">
        <f>M95*2</f>
        <v>884</v>
      </c>
      <c r="R95" s="519">
        <f>N95*2</f>
        <v>624</v>
      </c>
      <c r="S95" s="517"/>
      <c r="T95" s="517"/>
      <c r="U95" s="518">
        <f>Q95</f>
        <v>884</v>
      </c>
      <c r="V95" s="519">
        <f>R95</f>
        <v>624</v>
      </c>
      <c r="W95" s="517"/>
      <c r="X95" s="517"/>
      <c r="Y95" s="485">
        <f>($C95*$AW$8)/2</f>
        <v>442</v>
      </c>
      <c r="Z95" s="486">
        <f>(4.8*10*$C95)/2</f>
        <v>312</v>
      </c>
      <c r="AA95" s="517">
        <f>($C95-$D95)*$AY$8</f>
        <v>819</v>
      </c>
      <c r="AB95" s="517"/>
      <c r="AC95" s="526"/>
      <c r="AD95" s="527"/>
      <c r="AE95" s="516"/>
      <c r="AF95" s="516"/>
      <c r="AG95" s="556">
        <f t="shared" ref="AG95:AH99" si="82">C95</f>
        <v>13</v>
      </c>
      <c r="AH95" s="556">
        <f t="shared" si="82"/>
        <v>0</v>
      </c>
      <c r="AI95" s="485">
        <f t="shared" si="80"/>
        <v>5343</v>
      </c>
      <c r="AJ95" s="485">
        <f t="shared" si="81"/>
        <v>2652</v>
      </c>
      <c r="AK95" s="485">
        <f t="shared" si="81"/>
        <v>1872</v>
      </c>
      <c r="AL95" s="485">
        <f t="shared" si="81"/>
        <v>819</v>
      </c>
      <c r="AM95" s="485"/>
      <c r="AN95" s="498">
        <v>12</v>
      </c>
      <c r="AQ95" s="253"/>
      <c r="AR95" s="253"/>
      <c r="AS95" s="253"/>
      <c r="AT95" s="539"/>
      <c r="AU95" s="539"/>
      <c r="AV95" s="539"/>
      <c r="AW95" s="539"/>
      <c r="AX95" s="539"/>
      <c r="AY95" s="539">
        <v>10</v>
      </c>
      <c r="AZ95" s="539">
        <v>10</v>
      </c>
      <c r="BA95" s="251"/>
      <c r="BB95" s="251"/>
      <c r="BC95" s="251"/>
    </row>
    <row r="96" spans="1:55" s="498" customFormat="1" ht="13.95" customHeight="1" x14ac:dyDescent="0.3">
      <c r="A96" s="521"/>
      <c r="B96" s="515" t="s">
        <v>644</v>
      </c>
      <c r="C96" s="551">
        <f>'[2]7,9,25 Đào tạo TH'!I14</f>
        <v>11</v>
      </c>
      <c r="D96" s="555"/>
      <c r="E96" s="532"/>
      <c r="F96" s="533"/>
      <c r="G96" s="532"/>
      <c r="H96" s="532"/>
      <c r="I96" s="537"/>
      <c r="J96" s="538"/>
      <c r="K96" s="532"/>
      <c r="L96" s="532"/>
      <c r="M96" s="537"/>
      <c r="N96" s="538"/>
      <c r="O96" s="532"/>
      <c r="P96" s="532"/>
      <c r="Q96" s="485">
        <f>($C96*$AW$8)/2</f>
        <v>374</v>
      </c>
      <c r="R96" s="486">
        <f>(4.8*10*$C96)/2</f>
        <v>264</v>
      </c>
      <c r="S96" s="517"/>
      <c r="T96" s="517"/>
      <c r="U96" s="518">
        <f>Q96*2</f>
        <v>748</v>
      </c>
      <c r="V96" s="519">
        <f>R96*2</f>
        <v>528</v>
      </c>
      <c r="W96" s="517"/>
      <c r="X96" s="517"/>
      <c r="Y96" s="518">
        <f>U96</f>
        <v>748</v>
      </c>
      <c r="Z96" s="519">
        <f>V96</f>
        <v>528</v>
      </c>
      <c r="AA96" s="517"/>
      <c r="AB96" s="517"/>
      <c r="AC96" s="485">
        <f>($C96*$AW$8)/2</f>
        <v>374</v>
      </c>
      <c r="AD96" s="486">
        <f>(4.8*10*$C96)/2</f>
        <v>264</v>
      </c>
      <c r="AE96" s="517">
        <f>($C96-$D96)*$AY$8</f>
        <v>693</v>
      </c>
      <c r="AF96" s="517"/>
      <c r="AG96" s="556">
        <f t="shared" si="82"/>
        <v>11</v>
      </c>
      <c r="AH96" s="556">
        <f t="shared" si="82"/>
        <v>0</v>
      </c>
      <c r="AI96" s="485">
        <f t="shared" si="80"/>
        <v>4521</v>
      </c>
      <c r="AJ96" s="485">
        <f t="shared" si="81"/>
        <v>2244</v>
      </c>
      <c r="AK96" s="485">
        <f t="shared" si="81"/>
        <v>1584</v>
      </c>
      <c r="AL96" s="485">
        <f t="shared" si="81"/>
        <v>693</v>
      </c>
      <c r="AM96" s="485"/>
      <c r="AN96" s="498">
        <v>45</v>
      </c>
      <c r="AQ96" s="251"/>
      <c r="AR96" s="251"/>
      <c r="AS96" s="539"/>
      <c r="AT96" s="539"/>
      <c r="AU96" s="539"/>
      <c r="AV96" s="539"/>
      <c r="AW96" s="539"/>
      <c r="AX96" s="539"/>
      <c r="AY96" s="539">
        <v>8</v>
      </c>
      <c r="AZ96" s="539">
        <v>8</v>
      </c>
    </row>
    <row r="97" spans="1:55" ht="13.95" customHeight="1" x14ac:dyDescent="0.3">
      <c r="A97" s="523"/>
      <c r="B97" s="515" t="s">
        <v>645</v>
      </c>
      <c r="C97" s="551">
        <f>'[2]7,9,25 Đào tạo TH'!J14</f>
        <v>7</v>
      </c>
      <c r="D97" s="555"/>
      <c r="E97" s="523"/>
      <c r="F97" s="534"/>
      <c r="G97" s="523"/>
      <c r="H97" s="523"/>
      <c r="I97" s="535"/>
      <c r="J97" s="536"/>
      <c r="K97" s="523"/>
      <c r="L97" s="523"/>
      <c r="M97" s="535"/>
      <c r="N97" s="536"/>
      <c r="O97" s="523"/>
      <c r="P97" s="523"/>
      <c r="Q97" s="535"/>
      <c r="R97" s="536"/>
      <c r="S97" s="523"/>
      <c r="T97" s="523"/>
      <c r="U97" s="485">
        <f>($C97*$AW$8)/2</f>
        <v>238</v>
      </c>
      <c r="V97" s="486">
        <f>(4.8*10*$C97)/2</f>
        <v>168</v>
      </c>
      <c r="W97" s="516"/>
      <c r="X97" s="516"/>
      <c r="Y97" s="518">
        <f>U97*2</f>
        <v>476</v>
      </c>
      <c r="Z97" s="519">
        <f>V97*2</f>
        <v>336</v>
      </c>
      <c r="AA97" s="517"/>
      <c r="AB97" s="517"/>
      <c r="AC97" s="518">
        <f>Y97</f>
        <v>476</v>
      </c>
      <c r="AD97" s="519">
        <f>Z97</f>
        <v>336</v>
      </c>
      <c r="AE97" s="528"/>
      <c r="AF97" s="517"/>
      <c r="AG97" s="556">
        <f t="shared" si="82"/>
        <v>7</v>
      </c>
      <c r="AH97" s="556">
        <f t="shared" si="82"/>
        <v>0</v>
      </c>
      <c r="AI97" s="485">
        <f t="shared" si="80"/>
        <v>2030</v>
      </c>
      <c r="AJ97" s="485">
        <f t="shared" si="81"/>
        <v>1190</v>
      </c>
      <c r="AK97" s="485">
        <f t="shared" si="81"/>
        <v>840</v>
      </c>
      <c r="AL97" s="485">
        <f t="shared" si="81"/>
        <v>0</v>
      </c>
      <c r="AM97" s="485"/>
      <c r="AN97" s="498">
        <v>32</v>
      </c>
      <c r="AQ97" s="498"/>
      <c r="AR97" s="498"/>
      <c r="AS97" s="539"/>
      <c r="AT97" s="539"/>
      <c r="AU97" s="539"/>
      <c r="AV97" s="539"/>
      <c r="AW97" s="539"/>
      <c r="AX97" s="539"/>
      <c r="AY97" s="539">
        <v>7</v>
      </c>
      <c r="AZ97" s="539">
        <v>7</v>
      </c>
      <c r="BA97" s="498"/>
      <c r="BB97" s="498"/>
    </row>
    <row r="98" spans="1:55" s="498" customFormat="1" ht="13.95" customHeight="1" x14ac:dyDescent="0.3">
      <c r="A98" s="521"/>
      <c r="B98" s="515" t="s">
        <v>646</v>
      </c>
      <c r="C98" s="551">
        <f>'[2]7,9,25 Đào tạo TH'!K14</f>
        <v>7</v>
      </c>
      <c r="D98" s="555"/>
      <c r="E98" s="532"/>
      <c r="F98" s="533"/>
      <c r="G98" s="532"/>
      <c r="H98" s="532"/>
      <c r="I98" s="537"/>
      <c r="J98" s="538"/>
      <c r="K98" s="532"/>
      <c r="L98" s="532"/>
      <c r="M98" s="537"/>
      <c r="N98" s="538"/>
      <c r="O98" s="532"/>
      <c r="P98" s="532"/>
      <c r="Q98" s="537"/>
      <c r="R98" s="538"/>
      <c r="S98" s="532"/>
      <c r="T98" s="532"/>
      <c r="U98" s="537"/>
      <c r="V98" s="538"/>
      <c r="W98" s="532"/>
      <c r="X98" s="532"/>
      <c r="Y98" s="485">
        <f>($C98*$AW$8)/2</f>
        <v>238</v>
      </c>
      <c r="Z98" s="486">
        <f>(4.8*10*$C98)/2</f>
        <v>168</v>
      </c>
      <c r="AA98" s="516"/>
      <c r="AB98" s="516"/>
      <c r="AC98" s="518">
        <f>Y98*2</f>
        <v>476</v>
      </c>
      <c r="AD98" s="519">
        <f>Z98*2</f>
        <v>336</v>
      </c>
      <c r="AE98" s="528"/>
      <c r="AF98" s="517"/>
      <c r="AG98" s="556">
        <f t="shared" si="82"/>
        <v>7</v>
      </c>
      <c r="AH98" s="556">
        <f t="shared" si="82"/>
        <v>0</v>
      </c>
      <c r="AI98" s="485">
        <f t="shared" si="80"/>
        <v>1218</v>
      </c>
      <c r="AJ98" s="485">
        <f t="shared" si="81"/>
        <v>714</v>
      </c>
      <c r="AK98" s="485">
        <f t="shared" si="81"/>
        <v>504</v>
      </c>
      <c r="AL98" s="485">
        <f t="shared" si="81"/>
        <v>0</v>
      </c>
      <c r="AM98" s="485"/>
      <c r="AN98" s="498">
        <v>32</v>
      </c>
      <c r="AQ98" s="251"/>
      <c r="AR98" s="251"/>
      <c r="AS98" s="539"/>
      <c r="AT98" s="539"/>
      <c r="AU98" s="539"/>
      <c r="AV98" s="539"/>
      <c r="AW98" s="539"/>
      <c r="AX98" s="539"/>
      <c r="AY98" s="539">
        <v>7</v>
      </c>
      <c r="AZ98" s="539">
        <v>7</v>
      </c>
    </row>
    <row r="99" spans="1:55" ht="13.95" customHeight="1" x14ac:dyDescent="0.3">
      <c r="A99" s="523"/>
      <c r="B99" s="515" t="s">
        <v>647</v>
      </c>
      <c r="C99" s="551">
        <f>'[2]7,9,25 Đào tạo TH'!L14</f>
        <v>7</v>
      </c>
      <c r="D99" s="555"/>
      <c r="E99" s="523"/>
      <c r="F99" s="534"/>
      <c r="G99" s="523"/>
      <c r="H99" s="523"/>
      <c r="I99" s="535"/>
      <c r="J99" s="536"/>
      <c r="K99" s="523"/>
      <c r="L99" s="523"/>
      <c r="M99" s="535"/>
      <c r="N99" s="536"/>
      <c r="O99" s="523"/>
      <c r="P99" s="523"/>
      <c r="Q99" s="535"/>
      <c r="R99" s="536"/>
      <c r="S99" s="523"/>
      <c r="T99" s="523"/>
      <c r="U99" s="535"/>
      <c r="V99" s="536"/>
      <c r="W99" s="523"/>
      <c r="X99" s="523"/>
      <c r="Y99" s="535"/>
      <c r="Z99" s="536"/>
      <c r="AA99" s="516"/>
      <c r="AB99" s="516"/>
      <c r="AC99" s="485">
        <f>($C99*$AW$8)/2</f>
        <v>238</v>
      </c>
      <c r="AD99" s="486">
        <f>(4.8*10*$C99)/2</f>
        <v>168</v>
      </c>
      <c r="AE99" s="528"/>
      <c r="AF99" s="517"/>
      <c r="AG99" s="556">
        <f t="shared" si="82"/>
        <v>7</v>
      </c>
      <c r="AH99" s="556">
        <f t="shared" si="82"/>
        <v>0</v>
      </c>
      <c r="AI99" s="485">
        <f t="shared" si="80"/>
        <v>406</v>
      </c>
      <c r="AJ99" s="485">
        <f t="shared" si="81"/>
        <v>238</v>
      </c>
      <c r="AK99" s="485">
        <f t="shared" si="81"/>
        <v>168</v>
      </c>
      <c r="AL99" s="485">
        <f t="shared" si="81"/>
        <v>0</v>
      </c>
      <c r="AM99" s="485"/>
      <c r="AN99" s="498">
        <v>24</v>
      </c>
      <c r="AQ99" s="498"/>
      <c r="AR99" s="498"/>
      <c r="AS99" s="539"/>
      <c r="AT99" s="539"/>
      <c r="AU99" s="539"/>
      <c r="AV99" s="539"/>
      <c r="AW99" s="539"/>
      <c r="AX99" s="539"/>
      <c r="AY99" s="539">
        <v>7</v>
      </c>
      <c r="AZ99" s="539">
        <v>7</v>
      </c>
      <c r="BC99" s="498"/>
    </row>
    <row r="100" spans="1:55" s="498" customFormat="1" ht="13.95" customHeight="1" x14ac:dyDescent="0.3">
      <c r="A100" s="501">
        <v>4</v>
      </c>
      <c r="B100" s="502" t="s">
        <v>32</v>
      </c>
      <c r="C100" s="503">
        <f>SUM(C101:C108)</f>
        <v>1044</v>
      </c>
      <c r="D100" s="503">
        <f t="shared" ref="D100:AM100" si="83">SUM(D101:D108)</f>
        <v>0</v>
      </c>
      <c r="E100" s="503">
        <f t="shared" si="83"/>
        <v>8126</v>
      </c>
      <c r="F100" s="503">
        <f t="shared" si="83"/>
        <v>5736</v>
      </c>
      <c r="G100" s="503">
        <f t="shared" si="83"/>
        <v>0</v>
      </c>
      <c r="H100" s="503"/>
      <c r="I100" s="503">
        <f t="shared" si="83"/>
        <v>9656</v>
      </c>
      <c r="J100" s="503">
        <f t="shared" si="83"/>
        <v>6816</v>
      </c>
      <c r="K100" s="503">
        <f t="shared" si="83"/>
        <v>3648</v>
      </c>
      <c r="L100" s="503"/>
      <c r="M100" s="503">
        <f t="shared" si="83"/>
        <v>11322</v>
      </c>
      <c r="N100" s="503">
        <f t="shared" si="83"/>
        <v>7992</v>
      </c>
      <c r="O100" s="503">
        <f t="shared" si="83"/>
        <v>4176</v>
      </c>
      <c r="P100" s="503"/>
      <c r="Q100" s="503">
        <f t="shared" si="83"/>
        <v>18972</v>
      </c>
      <c r="R100" s="503">
        <f t="shared" si="83"/>
        <v>13392</v>
      </c>
      <c r="S100" s="503">
        <f t="shared" si="83"/>
        <v>1632</v>
      </c>
      <c r="T100" s="503"/>
      <c r="U100" s="503">
        <f t="shared" si="83"/>
        <v>23120</v>
      </c>
      <c r="V100" s="503">
        <f t="shared" si="83"/>
        <v>16320</v>
      </c>
      <c r="W100" s="503">
        <f t="shared" si="83"/>
        <v>8544</v>
      </c>
      <c r="X100" s="503"/>
      <c r="Y100" s="503">
        <f t="shared" si="83"/>
        <v>22746</v>
      </c>
      <c r="Z100" s="503">
        <f t="shared" si="83"/>
        <v>16056</v>
      </c>
      <c r="AA100" s="503">
        <f t="shared" si="83"/>
        <v>8064</v>
      </c>
      <c r="AB100" s="503"/>
      <c r="AC100" s="503">
        <f t="shared" si="83"/>
        <v>22780</v>
      </c>
      <c r="AD100" s="503">
        <f t="shared" si="83"/>
        <v>16080</v>
      </c>
      <c r="AE100" s="503">
        <f t="shared" si="83"/>
        <v>7968</v>
      </c>
      <c r="AF100" s="503"/>
      <c r="AG100" s="503">
        <f t="shared" si="83"/>
        <v>847</v>
      </c>
      <c r="AH100" s="503">
        <f t="shared" si="83"/>
        <v>0</v>
      </c>
      <c r="AI100" s="503">
        <f t="shared" si="83"/>
        <v>199164</v>
      </c>
      <c r="AJ100" s="503">
        <f t="shared" si="83"/>
        <v>98940</v>
      </c>
      <c r="AK100" s="503">
        <f t="shared" si="83"/>
        <v>69840</v>
      </c>
      <c r="AL100" s="503">
        <f t="shared" si="83"/>
        <v>30384</v>
      </c>
      <c r="AM100" s="503">
        <f t="shared" si="83"/>
        <v>0</v>
      </c>
      <c r="AN100" s="498">
        <v>21</v>
      </c>
      <c r="AQ100" s="251"/>
      <c r="AR100" s="251"/>
      <c r="AS100" s="539"/>
    </row>
    <row r="101" spans="1:55" ht="13.95" customHeight="1" x14ac:dyDescent="0.3">
      <c r="A101" s="521"/>
      <c r="B101" s="515" t="s">
        <v>639</v>
      </c>
      <c r="C101" s="551">
        <f>'[2]7,9,25 Đào tạo TH'!E17</f>
        <v>76</v>
      </c>
      <c r="D101" s="555"/>
      <c r="E101" s="518">
        <f>($C101*$AW$9)</f>
        <v>5168</v>
      </c>
      <c r="F101" s="519">
        <f>(4.8*10*$C101)</f>
        <v>3648</v>
      </c>
      <c r="G101" s="517"/>
      <c r="H101" s="517"/>
      <c r="I101" s="518">
        <f>E101/2</f>
        <v>2584</v>
      </c>
      <c r="J101" s="519">
        <f>F101/2</f>
        <v>1824</v>
      </c>
      <c r="K101" s="517">
        <f>$C101*$AY$9</f>
        <v>3648</v>
      </c>
      <c r="L101" s="517"/>
      <c r="M101" s="518"/>
      <c r="N101" s="519"/>
      <c r="O101" s="517"/>
      <c r="P101" s="517"/>
      <c r="Q101" s="518"/>
      <c r="R101" s="519"/>
      <c r="S101" s="517"/>
      <c r="T101" s="517"/>
      <c r="U101" s="518"/>
      <c r="V101" s="519"/>
      <c r="W101" s="517"/>
      <c r="X101" s="517"/>
      <c r="Y101" s="518"/>
      <c r="Z101" s="519"/>
      <c r="AA101" s="517"/>
      <c r="AB101" s="517"/>
      <c r="AC101" s="518"/>
      <c r="AD101" s="519"/>
      <c r="AE101" s="517"/>
      <c r="AF101" s="517"/>
      <c r="AG101" s="517"/>
      <c r="AH101" s="517"/>
      <c r="AI101" s="485">
        <f t="shared" ref="AI101:AI108" si="84">AJ101+AL101+AK101</f>
        <v>0</v>
      </c>
      <c r="AJ101" s="485">
        <f t="shared" ref="AJ101:AL108" si="85">M101+Q101+U101+Y101+AC101</f>
        <v>0</v>
      </c>
      <c r="AK101" s="485">
        <f t="shared" si="85"/>
        <v>0</v>
      </c>
      <c r="AL101" s="485">
        <f t="shared" si="85"/>
        <v>0</v>
      </c>
      <c r="AM101" s="485"/>
      <c r="AN101" s="496"/>
      <c r="AQ101" s="253"/>
      <c r="AR101" s="253"/>
      <c r="AS101" s="539"/>
      <c r="AT101" s="498"/>
      <c r="AU101" s="498"/>
      <c r="AV101" s="498"/>
      <c r="AW101" s="498"/>
      <c r="AX101" s="498"/>
      <c r="AY101" s="498"/>
      <c r="AZ101" s="498"/>
    </row>
    <row r="102" spans="1:55" ht="13.95" customHeight="1" x14ac:dyDescent="0.3">
      <c r="A102" s="521"/>
      <c r="B102" s="515" t="s">
        <v>641</v>
      </c>
      <c r="C102" s="551">
        <f>'[2]7,9,25 Đào tạo TH'!F17</f>
        <v>87</v>
      </c>
      <c r="D102" s="555"/>
      <c r="E102" s="518">
        <f>($C102*$AW$9)/2</f>
        <v>2958</v>
      </c>
      <c r="F102" s="519">
        <f>(4.8*10*$C102)/2</f>
        <v>2088</v>
      </c>
      <c r="G102" s="517"/>
      <c r="H102" s="517"/>
      <c r="I102" s="518">
        <f>($C102*$AW$9)</f>
        <v>5916</v>
      </c>
      <c r="J102" s="519">
        <f>(4.8*10*$C102)</f>
        <v>4176</v>
      </c>
      <c r="K102" s="517"/>
      <c r="L102" s="517"/>
      <c r="M102" s="518">
        <f>I102/2</f>
        <v>2958</v>
      </c>
      <c r="N102" s="519">
        <f>J102/2</f>
        <v>2088</v>
      </c>
      <c r="O102" s="517">
        <f>$C102*$AY$9</f>
        <v>4176</v>
      </c>
      <c r="P102" s="517"/>
      <c r="Q102" s="518"/>
      <c r="R102" s="519"/>
      <c r="S102" s="517"/>
      <c r="T102" s="517"/>
      <c r="U102" s="518"/>
      <c r="V102" s="519"/>
      <c r="W102" s="517"/>
      <c r="X102" s="517"/>
      <c r="Y102" s="518"/>
      <c r="Z102" s="519"/>
      <c r="AA102" s="517"/>
      <c r="AB102" s="517"/>
      <c r="AC102" s="518"/>
      <c r="AD102" s="519"/>
      <c r="AE102" s="517"/>
      <c r="AF102" s="517"/>
      <c r="AG102" s="517"/>
      <c r="AH102" s="517"/>
      <c r="AI102" s="485">
        <f t="shared" si="84"/>
        <v>9222</v>
      </c>
      <c r="AJ102" s="485">
        <f t="shared" si="85"/>
        <v>2958</v>
      </c>
      <c r="AK102" s="485">
        <f t="shared" si="85"/>
        <v>2088</v>
      </c>
      <c r="AL102" s="485">
        <f t="shared" si="85"/>
        <v>4176</v>
      </c>
      <c r="AM102" s="485"/>
      <c r="AN102" s="496"/>
      <c r="AQ102" s="253"/>
      <c r="AR102" s="253"/>
      <c r="AS102" s="539"/>
      <c r="AT102" s="498"/>
      <c r="AU102" s="498"/>
      <c r="AV102" s="498"/>
      <c r="AW102" s="498"/>
      <c r="AX102" s="498"/>
      <c r="AY102" s="498"/>
      <c r="AZ102" s="498"/>
    </row>
    <row r="103" spans="1:55" s="498" customFormat="1" ht="13.95" customHeight="1" x14ac:dyDescent="0.3">
      <c r="A103" s="521"/>
      <c r="B103" s="515" t="s">
        <v>642</v>
      </c>
      <c r="C103" s="551">
        <f>'[2]7,9,25 Đào tạo TH'!G17</f>
        <v>34</v>
      </c>
      <c r="D103" s="555"/>
      <c r="E103" s="532"/>
      <c r="F103" s="533"/>
      <c r="G103" s="532"/>
      <c r="H103" s="532"/>
      <c r="I103" s="518">
        <f>($C103*$AW$9)/2</f>
        <v>1156</v>
      </c>
      <c r="J103" s="519">
        <f>(4.8*10*$C103)/2</f>
        <v>816</v>
      </c>
      <c r="K103" s="517"/>
      <c r="L103" s="517"/>
      <c r="M103" s="518">
        <f>($C103*$AW$9)</f>
        <v>2312</v>
      </c>
      <c r="N103" s="519">
        <f>(4.8*10*$C103)</f>
        <v>1632</v>
      </c>
      <c r="O103" s="517"/>
      <c r="P103" s="517"/>
      <c r="Q103" s="518">
        <f>M103/2</f>
        <v>1156</v>
      </c>
      <c r="R103" s="519">
        <f>N103/2</f>
        <v>816</v>
      </c>
      <c r="S103" s="517">
        <f>$C103*$AY$9</f>
        <v>1632</v>
      </c>
      <c r="T103" s="517"/>
      <c r="U103" s="518"/>
      <c r="V103" s="519"/>
      <c r="W103" s="517"/>
      <c r="X103" s="517"/>
      <c r="Y103" s="518"/>
      <c r="Z103" s="519"/>
      <c r="AA103" s="517"/>
      <c r="AB103" s="517"/>
      <c r="AC103" s="518"/>
      <c r="AD103" s="519"/>
      <c r="AE103" s="517"/>
      <c r="AF103" s="517"/>
      <c r="AG103" s="517"/>
      <c r="AH103" s="517"/>
      <c r="AI103" s="485">
        <f t="shared" si="84"/>
        <v>7548</v>
      </c>
      <c r="AJ103" s="485">
        <f t="shared" si="85"/>
        <v>3468</v>
      </c>
      <c r="AK103" s="485">
        <f t="shared" si="85"/>
        <v>2448</v>
      </c>
      <c r="AL103" s="485">
        <f t="shared" si="85"/>
        <v>1632</v>
      </c>
      <c r="AM103" s="485"/>
      <c r="AN103" s="498" t="s">
        <v>648</v>
      </c>
      <c r="AS103" s="539"/>
      <c r="AT103" s="251"/>
      <c r="AU103" s="251"/>
      <c r="AV103" s="251"/>
    </row>
    <row r="104" spans="1:55" s="498" customFormat="1" ht="13.95" customHeight="1" x14ac:dyDescent="0.3">
      <c r="A104" s="523"/>
      <c r="B104" s="515" t="s">
        <v>643</v>
      </c>
      <c r="C104" s="551">
        <f>'[2]7,9,25 Đào tạo TH'!H17</f>
        <v>178</v>
      </c>
      <c r="D104" s="555"/>
      <c r="E104" s="523"/>
      <c r="F104" s="534"/>
      <c r="G104" s="523"/>
      <c r="H104" s="523"/>
      <c r="I104" s="535"/>
      <c r="J104" s="536"/>
      <c r="K104" s="523"/>
      <c r="L104" s="523"/>
      <c r="M104" s="518">
        <f>($C104*$AW$9)/2</f>
        <v>6052</v>
      </c>
      <c r="N104" s="519">
        <f>(4.8*10*$C104)/2</f>
        <v>4272</v>
      </c>
      <c r="O104" s="517"/>
      <c r="P104" s="517"/>
      <c r="Q104" s="518">
        <f>($C104*$AW$9)</f>
        <v>12104</v>
      </c>
      <c r="R104" s="519">
        <f>(4.8*10*$C104)</f>
        <v>8544</v>
      </c>
      <c r="S104" s="517"/>
      <c r="T104" s="517"/>
      <c r="U104" s="518">
        <f>Q104/2</f>
        <v>6052</v>
      </c>
      <c r="V104" s="519">
        <f>R104/2</f>
        <v>4272</v>
      </c>
      <c r="W104" s="517">
        <f>$C104*$AY$9</f>
        <v>8544</v>
      </c>
      <c r="X104" s="517"/>
      <c r="Y104" s="518"/>
      <c r="Z104" s="519"/>
      <c r="AA104" s="517"/>
      <c r="AB104" s="517"/>
      <c r="AC104" s="526"/>
      <c r="AD104" s="527"/>
      <c r="AE104" s="516"/>
      <c r="AF104" s="516"/>
      <c r="AG104" s="556">
        <f t="shared" ref="AG104:AH108" si="86">C104</f>
        <v>178</v>
      </c>
      <c r="AH104" s="556">
        <f t="shared" si="86"/>
        <v>0</v>
      </c>
      <c r="AI104" s="485">
        <f t="shared" si="84"/>
        <v>49840</v>
      </c>
      <c r="AJ104" s="485">
        <f t="shared" si="85"/>
        <v>24208</v>
      </c>
      <c r="AK104" s="485">
        <f t="shared" si="85"/>
        <v>17088</v>
      </c>
      <c r="AL104" s="485">
        <f t="shared" si="85"/>
        <v>8544</v>
      </c>
      <c r="AM104" s="485"/>
      <c r="AS104" s="539"/>
      <c r="AY104" s="251"/>
      <c r="AZ104" s="251"/>
      <c r="BA104" s="251"/>
      <c r="BB104" s="251"/>
      <c r="BC104" s="251"/>
    </row>
    <row r="105" spans="1:55" s="498" customFormat="1" ht="13.95" customHeight="1" x14ac:dyDescent="0.3">
      <c r="A105" s="521"/>
      <c r="B105" s="515" t="s">
        <v>644</v>
      </c>
      <c r="C105" s="551">
        <f>'[2]7,9,25 Đào tạo TH'!I17</f>
        <v>168</v>
      </c>
      <c r="D105" s="555"/>
      <c r="E105" s="532"/>
      <c r="F105" s="533"/>
      <c r="G105" s="532"/>
      <c r="H105" s="532"/>
      <c r="I105" s="537"/>
      <c r="J105" s="538"/>
      <c r="K105" s="532"/>
      <c r="L105" s="532"/>
      <c r="M105" s="537"/>
      <c r="N105" s="538"/>
      <c r="O105" s="532"/>
      <c r="P105" s="532"/>
      <c r="Q105" s="518">
        <f>($C105*$AW$9)/2</f>
        <v>5712</v>
      </c>
      <c r="R105" s="519">
        <f>(4.8*10*$C105)/2</f>
        <v>4032</v>
      </c>
      <c r="S105" s="517"/>
      <c r="T105" s="517"/>
      <c r="U105" s="518">
        <f>($C105*$AW$9)</f>
        <v>11424</v>
      </c>
      <c r="V105" s="519">
        <f>(4.8*10*$C105)</f>
        <v>8064</v>
      </c>
      <c r="W105" s="517"/>
      <c r="X105" s="517"/>
      <c r="Y105" s="518">
        <f>U105/2</f>
        <v>5712</v>
      </c>
      <c r="Z105" s="519">
        <f>V105/2</f>
        <v>4032</v>
      </c>
      <c r="AA105" s="517">
        <f>$C105*$AY$9</f>
        <v>8064</v>
      </c>
      <c r="AB105" s="517"/>
      <c r="AC105" s="518"/>
      <c r="AD105" s="519"/>
      <c r="AE105" s="517"/>
      <c r="AF105" s="517"/>
      <c r="AG105" s="556">
        <f t="shared" si="86"/>
        <v>168</v>
      </c>
      <c r="AH105" s="556">
        <f t="shared" si="86"/>
        <v>0</v>
      </c>
      <c r="AI105" s="485">
        <f t="shared" si="84"/>
        <v>47040</v>
      </c>
      <c r="AJ105" s="485">
        <f t="shared" si="85"/>
        <v>22848</v>
      </c>
      <c r="AK105" s="485">
        <f t="shared" si="85"/>
        <v>16128</v>
      </c>
      <c r="AL105" s="485">
        <f t="shared" si="85"/>
        <v>8064</v>
      </c>
      <c r="AM105" s="485"/>
      <c r="AN105" s="251"/>
      <c r="AT105" s="251"/>
      <c r="AU105" s="251"/>
      <c r="AV105" s="251"/>
      <c r="AW105" s="251"/>
      <c r="AX105" s="251"/>
    </row>
    <row r="106" spans="1:55" ht="13.95" customHeight="1" x14ac:dyDescent="0.3">
      <c r="A106" s="523"/>
      <c r="B106" s="515" t="s">
        <v>645</v>
      </c>
      <c r="C106" s="551">
        <f>'[2]7,9,25 Đào tạo TH'!J17</f>
        <v>166</v>
      </c>
      <c r="D106" s="555"/>
      <c r="E106" s="523"/>
      <c r="F106" s="534"/>
      <c r="G106" s="523"/>
      <c r="H106" s="523"/>
      <c r="I106" s="535"/>
      <c r="J106" s="536"/>
      <c r="K106" s="523"/>
      <c r="L106" s="523"/>
      <c r="M106" s="535"/>
      <c r="N106" s="536"/>
      <c r="O106" s="523"/>
      <c r="P106" s="523"/>
      <c r="Q106" s="535"/>
      <c r="R106" s="536"/>
      <c r="S106" s="523"/>
      <c r="T106" s="523"/>
      <c r="U106" s="518">
        <f>($C106*$AW$9)/2</f>
        <v>5644</v>
      </c>
      <c r="V106" s="519">
        <f>(4.8*10*$C106)/2</f>
        <v>3984</v>
      </c>
      <c r="W106" s="517"/>
      <c r="X106" s="517"/>
      <c r="Y106" s="518">
        <f>($C106*$AW$9)</f>
        <v>11288</v>
      </c>
      <c r="Z106" s="519">
        <f>(4.8*10*$C106)</f>
        <v>7968</v>
      </c>
      <c r="AA106" s="517"/>
      <c r="AB106" s="517"/>
      <c r="AC106" s="518">
        <f>Y106/2</f>
        <v>5644</v>
      </c>
      <c r="AD106" s="519">
        <f>Z106/2</f>
        <v>3984</v>
      </c>
      <c r="AE106" s="517">
        <f>$C106*$AY$9</f>
        <v>7968</v>
      </c>
      <c r="AF106" s="517"/>
      <c r="AG106" s="556">
        <f t="shared" si="86"/>
        <v>166</v>
      </c>
      <c r="AH106" s="556">
        <f t="shared" si="86"/>
        <v>0</v>
      </c>
      <c r="AI106" s="485">
        <f t="shared" si="84"/>
        <v>46480</v>
      </c>
      <c r="AJ106" s="485">
        <f t="shared" si="85"/>
        <v>22576</v>
      </c>
      <c r="AK106" s="485">
        <f t="shared" si="85"/>
        <v>15936</v>
      </c>
      <c r="AL106" s="485">
        <f t="shared" si="85"/>
        <v>7968</v>
      </c>
      <c r="AM106" s="485"/>
      <c r="AN106" s="498"/>
      <c r="AQ106" s="498"/>
      <c r="AR106" s="498"/>
      <c r="AS106" s="498"/>
      <c r="AT106" s="498"/>
      <c r="AU106" s="498"/>
      <c r="AV106" s="498"/>
      <c r="AW106" s="498"/>
      <c r="AX106" s="498"/>
      <c r="BA106" s="498"/>
      <c r="BB106" s="498"/>
    </row>
    <row r="107" spans="1:55" s="498" customFormat="1" ht="13.95" customHeight="1" x14ac:dyDescent="0.3">
      <c r="A107" s="521"/>
      <c r="B107" s="515" t="s">
        <v>646</v>
      </c>
      <c r="C107" s="551">
        <f>'[2]7,9,25 Đào tạo TH'!K17</f>
        <v>169</v>
      </c>
      <c r="D107" s="555"/>
      <c r="E107" s="532"/>
      <c r="F107" s="533"/>
      <c r="G107" s="532"/>
      <c r="H107" s="532"/>
      <c r="I107" s="537"/>
      <c r="J107" s="538"/>
      <c r="K107" s="532"/>
      <c r="L107" s="532"/>
      <c r="M107" s="537"/>
      <c r="N107" s="538"/>
      <c r="O107" s="532"/>
      <c r="P107" s="532"/>
      <c r="Q107" s="537"/>
      <c r="R107" s="538"/>
      <c r="S107" s="532"/>
      <c r="T107" s="532"/>
      <c r="U107" s="537"/>
      <c r="V107" s="538"/>
      <c r="W107" s="532"/>
      <c r="X107" s="532"/>
      <c r="Y107" s="518">
        <f>($C107*$AW$9)/2</f>
        <v>5746</v>
      </c>
      <c r="Z107" s="519">
        <f>(4.8*10*$C107)/2</f>
        <v>4056</v>
      </c>
      <c r="AA107" s="517"/>
      <c r="AB107" s="517"/>
      <c r="AC107" s="518">
        <f>($C107*$AW$9)</f>
        <v>11492</v>
      </c>
      <c r="AD107" s="519">
        <f>(4.8*10*$C107)</f>
        <v>8112</v>
      </c>
      <c r="AE107" s="528"/>
      <c r="AF107" s="517"/>
      <c r="AG107" s="556">
        <f t="shared" si="86"/>
        <v>169</v>
      </c>
      <c r="AH107" s="556">
        <f t="shared" si="86"/>
        <v>0</v>
      </c>
      <c r="AI107" s="485">
        <f t="shared" si="84"/>
        <v>29406</v>
      </c>
      <c r="AJ107" s="485">
        <f t="shared" si="85"/>
        <v>17238</v>
      </c>
      <c r="AK107" s="485">
        <f t="shared" si="85"/>
        <v>12168</v>
      </c>
      <c r="AL107" s="485">
        <f t="shared" si="85"/>
        <v>0</v>
      </c>
      <c r="AM107" s="485"/>
      <c r="AN107" s="251"/>
      <c r="AS107" s="251"/>
      <c r="AT107" s="251"/>
      <c r="AU107" s="251"/>
      <c r="AV107" s="251"/>
      <c r="AW107" s="251"/>
      <c r="AX107" s="251"/>
    </row>
    <row r="108" spans="1:55" ht="13.95" customHeight="1" x14ac:dyDescent="0.3">
      <c r="A108" s="523"/>
      <c r="B108" s="515" t="s">
        <v>647</v>
      </c>
      <c r="C108" s="551">
        <f>'[2]7,9,25 Đào tạo TH'!L17</f>
        <v>166</v>
      </c>
      <c r="D108" s="555"/>
      <c r="E108" s="523"/>
      <c r="F108" s="534"/>
      <c r="G108" s="523"/>
      <c r="H108" s="523"/>
      <c r="I108" s="535"/>
      <c r="J108" s="536"/>
      <c r="K108" s="523"/>
      <c r="L108" s="523"/>
      <c r="M108" s="535"/>
      <c r="N108" s="536"/>
      <c r="O108" s="523"/>
      <c r="P108" s="523"/>
      <c r="Q108" s="535"/>
      <c r="R108" s="536"/>
      <c r="S108" s="523"/>
      <c r="T108" s="523"/>
      <c r="U108" s="535"/>
      <c r="V108" s="536"/>
      <c r="W108" s="523"/>
      <c r="X108" s="523"/>
      <c r="Y108" s="535"/>
      <c r="Z108" s="536"/>
      <c r="AA108" s="516"/>
      <c r="AB108" s="516"/>
      <c r="AC108" s="518">
        <f>($C108*$AW$9)/2</f>
        <v>5644</v>
      </c>
      <c r="AD108" s="519">
        <f>(4.8*10*$C108)/2</f>
        <v>3984</v>
      </c>
      <c r="AE108" s="528"/>
      <c r="AF108" s="517"/>
      <c r="AG108" s="556">
        <f t="shared" si="86"/>
        <v>166</v>
      </c>
      <c r="AH108" s="556">
        <f t="shared" si="86"/>
        <v>0</v>
      </c>
      <c r="AI108" s="485">
        <f t="shared" si="84"/>
        <v>9628</v>
      </c>
      <c r="AJ108" s="485">
        <f t="shared" si="85"/>
        <v>5644</v>
      </c>
      <c r="AK108" s="485">
        <f t="shared" si="85"/>
        <v>3984</v>
      </c>
      <c r="AL108" s="485">
        <f t="shared" si="85"/>
        <v>0</v>
      </c>
      <c r="AM108" s="485"/>
      <c r="AN108" s="498"/>
      <c r="AQ108" s="498"/>
      <c r="AR108" s="498"/>
      <c r="AS108" s="498"/>
      <c r="AT108" s="542">
        <f>'[4]Đao tao so lieu TH'!H23</f>
        <v>1107</v>
      </c>
      <c r="AU108" s="542">
        <f>'[4]Đao tao so lieu TH'!I23</f>
        <v>1050</v>
      </c>
      <c r="AV108" s="542">
        <f>'[4]Đao tao so lieu TH'!J23</f>
        <v>1072</v>
      </c>
      <c r="AW108" s="542">
        <f>'[4]Đao tao so lieu TH'!K23</f>
        <v>1065</v>
      </c>
      <c r="AX108" s="539"/>
      <c r="AY108" s="539">
        <v>7</v>
      </c>
      <c r="AZ108" s="539">
        <v>7</v>
      </c>
      <c r="BC108" s="498"/>
    </row>
    <row r="109" spans="1:55" s="498" customFormat="1" ht="39.75" customHeight="1" x14ac:dyDescent="0.3">
      <c r="A109" s="501">
        <v>5</v>
      </c>
      <c r="B109" s="502" t="s">
        <v>34</v>
      </c>
      <c r="C109" s="503">
        <f>SUM(C110:C117)</f>
        <v>0</v>
      </c>
      <c r="D109" s="503">
        <f t="shared" ref="D109:AL109" si="87">SUM(D110:D117)</f>
        <v>0</v>
      </c>
      <c r="E109" s="503">
        <f t="shared" si="87"/>
        <v>0</v>
      </c>
      <c r="F109" s="503">
        <f t="shared" si="87"/>
        <v>0</v>
      </c>
      <c r="G109" s="503">
        <f t="shared" si="87"/>
        <v>0</v>
      </c>
      <c r="H109" s="503"/>
      <c r="I109" s="503">
        <f t="shared" si="87"/>
        <v>0</v>
      </c>
      <c r="J109" s="503">
        <f t="shared" si="87"/>
        <v>0</v>
      </c>
      <c r="K109" s="503">
        <f t="shared" si="87"/>
        <v>0</v>
      </c>
      <c r="L109" s="503"/>
      <c r="M109" s="503">
        <f t="shared" si="87"/>
        <v>0</v>
      </c>
      <c r="N109" s="503">
        <f t="shared" si="87"/>
        <v>0</v>
      </c>
      <c r="O109" s="503">
        <f t="shared" si="87"/>
        <v>0</v>
      </c>
      <c r="P109" s="503"/>
      <c r="Q109" s="503">
        <f t="shared" si="87"/>
        <v>0</v>
      </c>
      <c r="R109" s="503">
        <f t="shared" si="87"/>
        <v>0</v>
      </c>
      <c r="S109" s="503">
        <f t="shared" si="87"/>
        <v>0</v>
      </c>
      <c r="T109" s="503"/>
      <c r="U109" s="503">
        <f t="shared" si="87"/>
        <v>0</v>
      </c>
      <c r="V109" s="503">
        <f t="shared" si="87"/>
        <v>0</v>
      </c>
      <c r="W109" s="503">
        <f t="shared" si="87"/>
        <v>0</v>
      </c>
      <c r="X109" s="503"/>
      <c r="Y109" s="503">
        <f t="shared" si="87"/>
        <v>0</v>
      </c>
      <c r="Z109" s="503">
        <f t="shared" si="87"/>
        <v>0</v>
      </c>
      <c r="AA109" s="503">
        <f t="shared" si="87"/>
        <v>0</v>
      </c>
      <c r="AB109" s="503"/>
      <c r="AC109" s="503">
        <f t="shared" si="87"/>
        <v>0</v>
      </c>
      <c r="AD109" s="503">
        <f t="shared" si="87"/>
        <v>0</v>
      </c>
      <c r="AE109" s="503">
        <f t="shared" si="87"/>
        <v>0</v>
      </c>
      <c r="AF109" s="503"/>
      <c r="AG109" s="503">
        <f t="shared" si="87"/>
        <v>0</v>
      </c>
      <c r="AH109" s="503">
        <f t="shared" si="87"/>
        <v>0</v>
      </c>
      <c r="AI109" s="503">
        <f t="shared" si="87"/>
        <v>0</v>
      </c>
      <c r="AJ109" s="503">
        <f t="shared" si="87"/>
        <v>0</v>
      </c>
      <c r="AK109" s="503">
        <f t="shared" si="87"/>
        <v>0</v>
      </c>
      <c r="AL109" s="503">
        <f t="shared" si="87"/>
        <v>0</v>
      </c>
      <c r="AM109" s="504"/>
      <c r="AN109" s="251"/>
      <c r="AS109" s="251"/>
      <c r="AT109" s="498">
        <v>1107</v>
      </c>
      <c r="AU109" s="498">
        <v>1050</v>
      </c>
      <c r="AV109" s="498">
        <v>1072</v>
      </c>
      <c r="AW109" s="498">
        <v>1065</v>
      </c>
      <c r="AX109" s="498">
        <v>18</v>
      </c>
    </row>
    <row r="110" spans="1:55" s="498" customFormat="1" ht="13.95" customHeight="1" x14ac:dyDescent="0.3">
      <c r="A110" s="521"/>
      <c r="B110" s="515" t="s">
        <v>639</v>
      </c>
      <c r="C110" s="551">
        <f>'[2]7,9,25 Đào tạo TH'!E20</f>
        <v>0</v>
      </c>
      <c r="D110" s="555"/>
      <c r="E110" s="518">
        <f>($C110*$AW$10)/2</f>
        <v>0</v>
      </c>
      <c r="F110" s="519">
        <f>(4.8*10*$C110)/2</f>
        <v>0</v>
      </c>
      <c r="G110" s="517"/>
      <c r="H110" s="517"/>
      <c r="I110" s="518">
        <f>E110*2</f>
        <v>0</v>
      </c>
      <c r="J110" s="519">
        <f>F110*2</f>
        <v>0</v>
      </c>
      <c r="K110" s="517"/>
      <c r="L110" s="517"/>
      <c r="M110" s="518">
        <f>I110</f>
        <v>0</v>
      </c>
      <c r="N110" s="519">
        <f>J110</f>
        <v>0</v>
      </c>
      <c r="O110" s="517"/>
      <c r="P110" s="517"/>
      <c r="Q110" s="518">
        <f t="shared" ref="Q110:R112" si="88">M110</f>
        <v>0</v>
      </c>
      <c r="R110" s="519">
        <f t="shared" si="88"/>
        <v>0</v>
      </c>
      <c r="S110" s="517"/>
      <c r="T110" s="517"/>
      <c r="U110" s="518">
        <f>Q110/2</f>
        <v>0</v>
      </c>
      <c r="V110" s="519">
        <f>R110/2</f>
        <v>0</v>
      </c>
      <c r="W110" s="517">
        <f>$C110*$AY$10</f>
        <v>0</v>
      </c>
      <c r="X110" s="517"/>
      <c r="Y110" s="518"/>
      <c r="Z110" s="519"/>
      <c r="AA110" s="517"/>
      <c r="AB110" s="517"/>
      <c r="AC110" s="518"/>
      <c r="AD110" s="519"/>
      <c r="AE110" s="485"/>
      <c r="AF110" s="485"/>
      <c r="AG110" s="517"/>
      <c r="AH110" s="517"/>
      <c r="AI110" s="485">
        <f t="shared" ref="AI110:AI117" si="89">AJ110+AL110+AK110</f>
        <v>0</v>
      </c>
      <c r="AJ110" s="485">
        <f t="shared" ref="AJ110:AL117" si="90">M110+Q110+U110+Y110+AC110</f>
        <v>0</v>
      </c>
      <c r="AK110" s="485">
        <f t="shared" si="90"/>
        <v>0</v>
      </c>
      <c r="AL110" s="485">
        <f t="shared" si="90"/>
        <v>0</v>
      </c>
      <c r="AM110" s="485"/>
      <c r="AN110" s="251"/>
      <c r="AT110" s="251"/>
      <c r="AU110" s="251"/>
      <c r="AV110" s="251"/>
      <c r="AW110" s="251"/>
      <c r="AX110" s="251"/>
    </row>
    <row r="111" spans="1:55" s="498" customFormat="1" ht="13.95" customHeight="1" x14ac:dyDescent="0.3">
      <c r="A111" s="521"/>
      <c r="B111" s="515" t="s">
        <v>641</v>
      </c>
      <c r="C111" s="551">
        <f>'[2]7,9,25 Đào tạo TH'!F20</f>
        <v>0</v>
      </c>
      <c r="D111" s="555"/>
      <c r="E111" s="518">
        <f>($C111*$AW$10)/2</f>
        <v>0</v>
      </c>
      <c r="F111" s="519">
        <f>(4.8*10*$C111)/2</f>
        <v>0</v>
      </c>
      <c r="G111" s="517"/>
      <c r="H111" s="517"/>
      <c r="I111" s="518">
        <f>E111*2</f>
        <v>0</v>
      </c>
      <c r="J111" s="519">
        <f>F111*2</f>
        <v>0</v>
      </c>
      <c r="K111" s="517"/>
      <c r="L111" s="517"/>
      <c r="M111" s="518">
        <f>I111</f>
        <v>0</v>
      </c>
      <c r="N111" s="519">
        <f>J111</f>
        <v>0</v>
      </c>
      <c r="O111" s="517"/>
      <c r="P111" s="517"/>
      <c r="Q111" s="518">
        <f t="shared" si="88"/>
        <v>0</v>
      </c>
      <c r="R111" s="519">
        <f t="shared" si="88"/>
        <v>0</v>
      </c>
      <c r="S111" s="517"/>
      <c r="T111" s="517"/>
      <c r="U111" s="518">
        <f>Q111/2</f>
        <v>0</v>
      </c>
      <c r="V111" s="519">
        <f>R111/2</f>
        <v>0</v>
      </c>
      <c r="W111" s="517">
        <f>$C111*$AY$10</f>
        <v>0</v>
      </c>
      <c r="X111" s="517"/>
      <c r="Y111" s="518"/>
      <c r="Z111" s="519"/>
      <c r="AA111" s="517"/>
      <c r="AB111" s="517"/>
      <c r="AC111" s="518"/>
      <c r="AD111" s="519"/>
      <c r="AE111" s="485"/>
      <c r="AF111" s="485"/>
      <c r="AG111" s="517"/>
      <c r="AH111" s="517"/>
      <c r="AI111" s="485">
        <f t="shared" si="89"/>
        <v>0</v>
      </c>
      <c r="AJ111" s="485">
        <f t="shared" si="90"/>
        <v>0</v>
      </c>
      <c r="AK111" s="485">
        <f t="shared" si="90"/>
        <v>0</v>
      </c>
      <c r="AL111" s="485">
        <f t="shared" si="90"/>
        <v>0</v>
      </c>
      <c r="AM111" s="485"/>
      <c r="AN111" s="251"/>
      <c r="AT111" s="251"/>
      <c r="AU111" s="251"/>
      <c r="AV111" s="251"/>
      <c r="AW111" s="251"/>
      <c r="AX111" s="251"/>
    </row>
    <row r="112" spans="1:55" s="498" customFormat="1" ht="13.95" customHeight="1" x14ac:dyDescent="0.3">
      <c r="A112" s="521"/>
      <c r="B112" s="515" t="s">
        <v>642</v>
      </c>
      <c r="C112" s="551">
        <f>'[2]7,9,25 Đào tạo TH'!G20</f>
        <v>0</v>
      </c>
      <c r="D112" s="555"/>
      <c r="E112" s="485"/>
      <c r="F112" s="486"/>
      <c r="G112" s="517"/>
      <c r="H112" s="517"/>
      <c r="I112" s="518">
        <f>($C112*$AW$10)/2</f>
        <v>0</v>
      </c>
      <c r="J112" s="519">
        <f>(4.8*10*$C112)/2</f>
        <v>0</v>
      </c>
      <c r="K112" s="517"/>
      <c r="L112" s="517"/>
      <c r="M112" s="518">
        <f>I112*2</f>
        <v>0</v>
      </c>
      <c r="N112" s="519">
        <f>J112*2</f>
        <v>0</v>
      </c>
      <c r="O112" s="517"/>
      <c r="P112" s="517"/>
      <c r="Q112" s="518">
        <f t="shared" si="88"/>
        <v>0</v>
      </c>
      <c r="R112" s="519">
        <f t="shared" si="88"/>
        <v>0</v>
      </c>
      <c r="S112" s="517"/>
      <c r="T112" s="517"/>
      <c r="U112" s="518">
        <f>Q112</f>
        <v>0</v>
      </c>
      <c r="V112" s="519">
        <f>R112</f>
        <v>0</v>
      </c>
      <c r="W112" s="517"/>
      <c r="X112" s="517"/>
      <c r="Y112" s="518">
        <f>U112/2</f>
        <v>0</v>
      </c>
      <c r="Z112" s="519">
        <f>V112/2</f>
        <v>0</v>
      </c>
      <c r="AA112" s="517">
        <f>$C112*$AY$10</f>
        <v>0</v>
      </c>
      <c r="AB112" s="517"/>
      <c r="AC112" s="518"/>
      <c r="AD112" s="519"/>
      <c r="AE112" s="517"/>
      <c r="AF112" s="517"/>
      <c r="AG112" s="517"/>
      <c r="AH112" s="517"/>
      <c r="AI112" s="485">
        <f t="shared" si="89"/>
        <v>0</v>
      </c>
      <c r="AJ112" s="485">
        <f t="shared" si="90"/>
        <v>0</v>
      </c>
      <c r="AK112" s="485">
        <f t="shared" si="90"/>
        <v>0</v>
      </c>
      <c r="AL112" s="485">
        <f t="shared" si="90"/>
        <v>0</v>
      </c>
      <c r="AM112" s="485"/>
      <c r="AN112" s="251"/>
      <c r="AT112" s="251"/>
      <c r="AU112" s="251"/>
      <c r="AV112" s="251"/>
      <c r="AW112" s="251"/>
      <c r="AX112" s="251"/>
    </row>
    <row r="113" spans="1:55" s="498" customFormat="1" ht="13.95" customHeight="1" x14ac:dyDescent="0.3">
      <c r="A113" s="521"/>
      <c r="B113" s="515" t="s">
        <v>643</v>
      </c>
      <c r="C113" s="551">
        <f>'[2]7,9,25 Đào tạo TH'!H20</f>
        <v>0</v>
      </c>
      <c r="D113" s="555"/>
      <c r="E113" s="516"/>
      <c r="F113" s="525"/>
      <c r="G113" s="516"/>
      <c r="H113" s="516"/>
      <c r="I113" s="526"/>
      <c r="J113" s="527"/>
      <c r="K113" s="516"/>
      <c r="L113" s="516"/>
      <c r="M113" s="518">
        <f>($C113*$AW$10)/2</f>
        <v>0</v>
      </c>
      <c r="N113" s="519">
        <f>(4.8*10*$C113)/2</f>
        <v>0</v>
      </c>
      <c r="O113" s="517"/>
      <c r="P113" s="517"/>
      <c r="Q113" s="518">
        <f>M113*2</f>
        <v>0</v>
      </c>
      <c r="R113" s="519">
        <f>N113*2</f>
        <v>0</v>
      </c>
      <c r="S113" s="517"/>
      <c r="T113" s="517"/>
      <c r="U113" s="518">
        <f>Q113</f>
        <v>0</v>
      </c>
      <c r="V113" s="519">
        <f>R113</f>
        <v>0</v>
      </c>
      <c r="W113" s="517"/>
      <c r="X113" s="517"/>
      <c r="Y113" s="518">
        <f>U113</f>
        <v>0</v>
      </c>
      <c r="Z113" s="519">
        <f>V113</f>
        <v>0</v>
      </c>
      <c r="AA113" s="517"/>
      <c r="AB113" s="517"/>
      <c r="AC113" s="518">
        <f>Y113/2</f>
        <v>0</v>
      </c>
      <c r="AD113" s="519">
        <f>Z113/2</f>
        <v>0</v>
      </c>
      <c r="AE113" s="517">
        <f>$C113*$AY$10</f>
        <v>0</v>
      </c>
      <c r="AF113" s="517"/>
      <c r="AG113" s="556">
        <f t="shared" ref="AG113:AH117" si="91">C113</f>
        <v>0</v>
      </c>
      <c r="AH113" s="556">
        <f t="shared" si="91"/>
        <v>0</v>
      </c>
      <c r="AI113" s="485">
        <f t="shared" si="89"/>
        <v>0</v>
      </c>
      <c r="AJ113" s="485">
        <f t="shared" si="90"/>
        <v>0</v>
      </c>
      <c r="AK113" s="485">
        <f t="shared" si="90"/>
        <v>0</v>
      </c>
      <c r="AL113" s="485">
        <f t="shared" si="90"/>
        <v>0</v>
      </c>
      <c r="AM113" s="485"/>
      <c r="AN113" s="251"/>
      <c r="AS113" s="498">
        <f>'[4]Đao tao so lieu TH'!G23</f>
        <v>1129</v>
      </c>
      <c r="AT113" s="251"/>
      <c r="AU113" s="251"/>
      <c r="AV113" s="251"/>
      <c r="AW113" s="251"/>
      <c r="AX113" s="251"/>
    </row>
    <row r="114" spans="1:55" s="498" customFormat="1" ht="13.95" customHeight="1" x14ac:dyDescent="0.3">
      <c r="A114" s="521"/>
      <c r="B114" s="515" t="s">
        <v>644</v>
      </c>
      <c r="C114" s="551">
        <f>'[2]7,9,25 Đào tạo TH'!I20</f>
        <v>0</v>
      </c>
      <c r="D114" s="555"/>
      <c r="E114" s="517"/>
      <c r="F114" s="486"/>
      <c r="G114" s="517"/>
      <c r="H114" s="517"/>
      <c r="I114" s="518"/>
      <c r="J114" s="519"/>
      <c r="K114" s="517"/>
      <c r="L114" s="517"/>
      <c r="M114" s="518"/>
      <c r="N114" s="519"/>
      <c r="O114" s="517"/>
      <c r="P114" s="517"/>
      <c r="Q114" s="518">
        <f>($C114*$AW$10)/2</f>
        <v>0</v>
      </c>
      <c r="R114" s="519">
        <f>(4.8*10*$C114)/2</f>
        <v>0</v>
      </c>
      <c r="S114" s="517"/>
      <c r="T114" s="517"/>
      <c r="U114" s="518">
        <f>Q114*2</f>
        <v>0</v>
      </c>
      <c r="V114" s="519">
        <f>R114*2</f>
        <v>0</v>
      </c>
      <c r="W114" s="517"/>
      <c r="X114" s="517"/>
      <c r="Y114" s="518">
        <f>U114</f>
        <v>0</v>
      </c>
      <c r="Z114" s="519">
        <f>V114</f>
        <v>0</v>
      </c>
      <c r="AA114" s="517"/>
      <c r="AB114" s="517"/>
      <c r="AC114" s="518">
        <f>Y114</f>
        <v>0</v>
      </c>
      <c r="AD114" s="519">
        <f>Z114</f>
        <v>0</v>
      </c>
      <c r="AE114" s="528"/>
      <c r="AF114" s="517"/>
      <c r="AG114" s="556">
        <f t="shared" si="91"/>
        <v>0</v>
      </c>
      <c r="AH114" s="556">
        <f t="shared" si="91"/>
        <v>0</v>
      </c>
      <c r="AI114" s="485">
        <f t="shared" si="89"/>
        <v>0</v>
      </c>
      <c r="AJ114" s="485">
        <f t="shared" si="90"/>
        <v>0</v>
      </c>
      <c r="AK114" s="485">
        <f t="shared" si="90"/>
        <v>0</v>
      </c>
      <c r="AL114" s="485">
        <f t="shared" si="90"/>
        <v>0</v>
      </c>
      <c r="AM114" s="485"/>
      <c r="AN114" s="251"/>
      <c r="AS114" s="498">
        <v>1129</v>
      </c>
      <c r="AT114" s="251"/>
      <c r="AU114" s="251"/>
      <c r="AV114" s="251"/>
      <c r="AW114" s="251"/>
      <c r="AX114" s="251"/>
    </row>
    <row r="115" spans="1:55" s="498" customFormat="1" ht="13.95" customHeight="1" x14ac:dyDescent="0.3">
      <c r="A115" s="521"/>
      <c r="B115" s="515" t="s">
        <v>645</v>
      </c>
      <c r="C115" s="551">
        <f>'[2]7,9,25 Đào tạo TH'!J20</f>
        <v>0</v>
      </c>
      <c r="D115" s="555"/>
      <c r="E115" s="516"/>
      <c r="F115" s="525"/>
      <c r="G115" s="516"/>
      <c r="H115" s="516"/>
      <c r="I115" s="526"/>
      <c r="J115" s="527"/>
      <c r="K115" s="516"/>
      <c r="L115" s="516"/>
      <c r="M115" s="526"/>
      <c r="N115" s="527"/>
      <c r="O115" s="516"/>
      <c r="P115" s="516"/>
      <c r="Q115" s="526"/>
      <c r="R115" s="519"/>
      <c r="S115" s="557"/>
      <c r="T115" s="557"/>
      <c r="U115" s="518">
        <f>($C115*$AW$10)/2</f>
        <v>0</v>
      </c>
      <c r="V115" s="519">
        <f>(4.8*10*$C115)/2</f>
        <v>0</v>
      </c>
      <c r="W115" s="517"/>
      <c r="X115" s="517"/>
      <c r="Y115" s="518">
        <f>U115*2</f>
        <v>0</v>
      </c>
      <c r="Z115" s="519">
        <f>V115*2</f>
        <v>0</v>
      </c>
      <c r="AA115" s="517"/>
      <c r="AB115" s="517"/>
      <c r="AC115" s="518">
        <f>Y115</f>
        <v>0</v>
      </c>
      <c r="AD115" s="519">
        <f>Z115</f>
        <v>0</v>
      </c>
      <c r="AE115" s="528"/>
      <c r="AF115" s="517"/>
      <c r="AG115" s="556">
        <f t="shared" si="91"/>
        <v>0</v>
      </c>
      <c r="AH115" s="556">
        <f t="shared" si="91"/>
        <v>0</v>
      </c>
      <c r="AI115" s="485">
        <f t="shared" si="89"/>
        <v>0</v>
      </c>
      <c r="AJ115" s="485">
        <f t="shared" si="90"/>
        <v>0</v>
      </c>
      <c r="AK115" s="485">
        <f t="shared" si="90"/>
        <v>0</v>
      </c>
      <c r="AL115" s="485">
        <f t="shared" si="90"/>
        <v>0</v>
      </c>
      <c r="AM115" s="485"/>
      <c r="AN115" s="251"/>
      <c r="AT115" s="251"/>
      <c r="AU115" s="251"/>
      <c r="AV115" s="251"/>
      <c r="AW115" s="251"/>
      <c r="AX115" s="251"/>
    </row>
    <row r="116" spans="1:55" s="498" customFormat="1" ht="13.95" customHeight="1" x14ac:dyDescent="0.3">
      <c r="A116" s="521"/>
      <c r="B116" s="515" t="s">
        <v>646</v>
      </c>
      <c r="C116" s="551">
        <f>'[2]7,9,25 Đào tạo TH'!K20</f>
        <v>0</v>
      </c>
      <c r="D116" s="555"/>
      <c r="E116" s="517"/>
      <c r="F116" s="486"/>
      <c r="G116" s="517"/>
      <c r="H116" s="517"/>
      <c r="I116" s="518"/>
      <c r="J116" s="519"/>
      <c r="K116" s="517"/>
      <c r="L116" s="517"/>
      <c r="M116" s="518"/>
      <c r="N116" s="519"/>
      <c r="O116" s="517"/>
      <c r="P116" s="517"/>
      <c r="Q116" s="518"/>
      <c r="R116" s="519"/>
      <c r="S116" s="558"/>
      <c r="T116" s="558"/>
      <c r="U116" s="518"/>
      <c r="V116" s="519"/>
      <c r="W116" s="517"/>
      <c r="X116" s="517"/>
      <c r="Y116" s="518">
        <f>($C116*$AW$10)/2</f>
        <v>0</v>
      </c>
      <c r="Z116" s="519">
        <f>(4.8*10*$C116)/2</f>
        <v>0</v>
      </c>
      <c r="AA116" s="517"/>
      <c r="AB116" s="517"/>
      <c r="AC116" s="518">
        <f>Y116*2</f>
        <v>0</v>
      </c>
      <c r="AD116" s="519">
        <f>Z116*2</f>
        <v>0</v>
      </c>
      <c r="AE116" s="528"/>
      <c r="AF116" s="517"/>
      <c r="AG116" s="556">
        <f t="shared" si="91"/>
        <v>0</v>
      </c>
      <c r="AH116" s="556">
        <f t="shared" si="91"/>
        <v>0</v>
      </c>
      <c r="AI116" s="485">
        <f t="shared" si="89"/>
        <v>0</v>
      </c>
      <c r="AJ116" s="485">
        <f t="shared" si="90"/>
        <v>0</v>
      </c>
      <c r="AK116" s="485">
        <f t="shared" si="90"/>
        <v>0</v>
      </c>
      <c r="AL116" s="485">
        <f t="shared" si="90"/>
        <v>0</v>
      </c>
      <c r="AM116" s="485"/>
      <c r="AN116" s="251"/>
      <c r="AT116" s="251"/>
      <c r="AU116" s="251"/>
      <c r="AV116" s="251">
        <f t="shared" ref="AV116:AZ123" si="92">AV62</f>
        <v>0</v>
      </c>
      <c r="AW116" s="251" t="str">
        <f t="shared" si="92"/>
        <v>Số tiền học phí/năm</v>
      </c>
      <c r="AX116" s="251" t="str">
        <f t="shared" si="92"/>
        <v>Số năm</v>
      </c>
      <c r="AY116" s="498" t="str">
        <f t="shared" si="92"/>
        <v>mức lương cơ sở 1 lần</v>
      </c>
      <c r="AZ116" s="498" t="str">
        <f t="shared" si="92"/>
        <v>mức hỗ trợ 1 lần đối tượng ít hấp dẫn</v>
      </c>
    </row>
    <row r="117" spans="1:55" s="498" customFormat="1" ht="13.95" customHeight="1" x14ac:dyDescent="0.3">
      <c r="A117" s="521"/>
      <c r="B117" s="515" t="s">
        <v>647</v>
      </c>
      <c r="C117" s="551">
        <f>'[2]7,9,25 Đào tạo TH'!L20</f>
        <v>0</v>
      </c>
      <c r="D117" s="555"/>
      <c r="E117" s="516"/>
      <c r="F117" s="525"/>
      <c r="G117" s="516"/>
      <c r="H117" s="516"/>
      <c r="I117" s="526"/>
      <c r="J117" s="527"/>
      <c r="K117" s="516"/>
      <c r="L117" s="516"/>
      <c r="M117" s="526"/>
      <c r="N117" s="527"/>
      <c r="O117" s="516"/>
      <c r="P117" s="516"/>
      <c r="Q117" s="526"/>
      <c r="R117" s="527"/>
      <c r="S117" s="557"/>
      <c r="T117" s="557"/>
      <c r="U117" s="526"/>
      <c r="V117" s="527"/>
      <c r="W117" s="516"/>
      <c r="X117" s="516"/>
      <c r="Y117" s="526"/>
      <c r="Z117" s="527"/>
      <c r="AA117" s="516"/>
      <c r="AB117" s="516"/>
      <c r="AC117" s="518">
        <f>($C117*$AW$10)/2</f>
        <v>0</v>
      </c>
      <c r="AD117" s="519">
        <f>(4.8*10*$C117)/2</f>
        <v>0</v>
      </c>
      <c r="AE117" s="528"/>
      <c r="AF117" s="517"/>
      <c r="AG117" s="556">
        <f t="shared" si="91"/>
        <v>0</v>
      </c>
      <c r="AH117" s="556">
        <f t="shared" si="91"/>
        <v>0</v>
      </c>
      <c r="AI117" s="485">
        <f t="shared" si="89"/>
        <v>0</v>
      </c>
      <c r="AJ117" s="485">
        <f t="shared" si="90"/>
        <v>0</v>
      </c>
      <c r="AK117" s="485">
        <f t="shared" si="90"/>
        <v>0</v>
      </c>
      <c r="AL117" s="485">
        <f t="shared" si="90"/>
        <v>0</v>
      </c>
      <c r="AM117" s="485"/>
      <c r="AN117" s="251"/>
      <c r="AT117" s="251"/>
      <c r="AU117" s="251"/>
      <c r="AV117" s="251">
        <f t="shared" si="92"/>
        <v>0</v>
      </c>
      <c r="AW117" s="251">
        <f t="shared" si="92"/>
        <v>0</v>
      </c>
      <c r="AX117" s="251">
        <f t="shared" si="92"/>
        <v>0</v>
      </c>
      <c r="AY117" s="498">
        <f t="shared" si="92"/>
        <v>0</v>
      </c>
      <c r="AZ117" s="498">
        <f t="shared" si="92"/>
        <v>0</v>
      </c>
    </row>
    <row r="118" spans="1:55" s="498" customFormat="1" ht="43.95" customHeight="1" x14ac:dyDescent="0.3">
      <c r="A118" s="501">
        <v>6</v>
      </c>
      <c r="B118" s="502" t="s">
        <v>650</v>
      </c>
      <c r="C118" s="501">
        <f>SUM(C119:C125)</f>
        <v>38</v>
      </c>
      <c r="D118" s="501">
        <f t="shared" ref="D118:AL118" si="93">SUM(D119:D125)</f>
        <v>0</v>
      </c>
      <c r="E118" s="501">
        <f t="shared" si="93"/>
        <v>3</v>
      </c>
      <c r="F118" s="501">
        <f t="shared" si="93"/>
        <v>0</v>
      </c>
      <c r="G118" s="501">
        <f t="shared" si="93"/>
        <v>0</v>
      </c>
      <c r="H118" s="501"/>
      <c r="I118" s="501">
        <f t="shared" si="93"/>
        <v>0</v>
      </c>
      <c r="J118" s="501">
        <f t="shared" si="93"/>
        <v>0</v>
      </c>
      <c r="K118" s="501">
        <f t="shared" si="93"/>
        <v>0</v>
      </c>
      <c r="L118" s="501"/>
      <c r="M118" s="501">
        <f t="shared" si="93"/>
        <v>21</v>
      </c>
      <c r="N118" s="501">
        <f t="shared" si="93"/>
        <v>0</v>
      </c>
      <c r="O118" s="501">
        <f t="shared" si="93"/>
        <v>0</v>
      </c>
      <c r="P118" s="501"/>
      <c r="Q118" s="501">
        <f t="shared" si="93"/>
        <v>27</v>
      </c>
      <c r="R118" s="501">
        <f t="shared" si="93"/>
        <v>0</v>
      </c>
      <c r="S118" s="501">
        <f t="shared" si="93"/>
        <v>0</v>
      </c>
      <c r="T118" s="501"/>
      <c r="U118" s="501">
        <f t="shared" si="93"/>
        <v>18</v>
      </c>
      <c r="V118" s="501">
        <f t="shared" si="93"/>
        <v>0</v>
      </c>
      <c r="W118" s="501">
        <f t="shared" si="93"/>
        <v>0</v>
      </c>
      <c r="X118" s="501"/>
      <c r="Y118" s="501">
        <f t="shared" si="93"/>
        <v>24</v>
      </c>
      <c r="Z118" s="501">
        <f t="shared" si="93"/>
        <v>0</v>
      </c>
      <c r="AA118" s="501">
        <f t="shared" si="93"/>
        <v>0</v>
      </c>
      <c r="AB118" s="501"/>
      <c r="AC118" s="501">
        <f t="shared" si="93"/>
        <v>21</v>
      </c>
      <c r="AD118" s="501">
        <f t="shared" si="93"/>
        <v>0</v>
      </c>
      <c r="AE118" s="501">
        <f t="shared" si="93"/>
        <v>0</v>
      </c>
      <c r="AF118" s="501"/>
      <c r="AG118" s="501">
        <f t="shared" si="93"/>
        <v>37</v>
      </c>
      <c r="AH118" s="501">
        <f t="shared" si="93"/>
        <v>0</v>
      </c>
      <c r="AI118" s="504">
        <f t="shared" si="93"/>
        <v>111</v>
      </c>
      <c r="AJ118" s="504">
        <f t="shared" si="93"/>
        <v>111</v>
      </c>
      <c r="AK118" s="504">
        <f t="shared" si="93"/>
        <v>0</v>
      </c>
      <c r="AL118" s="504">
        <f t="shared" si="93"/>
        <v>0</v>
      </c>
      <c r="AM118" s="504"/>
      <c r="AN118" s="251"/>
      <c r="AQ118" s="251"/>
      <c r="AR118" s="251"/>
      <c r="AS118" s="251"/>
      <c r="AT118" s="480"/>
      <c r="AU118" s="481"/>
      <c r="AV118" s="550" t="str">
        <f t="shared" si="92"/>
        <v>Tiến sĩ chuyên ngành y tế</v>
      </c>
      <c r="AW118" s="483">
        <f t="shared" si="92"/>
        <v>87.5</v>
      </c>
      <c r="AX118" s="483">
        <f t="shared" si="92"/>
        <v>4</v>
      </c>
      <c r="AY118" s="483">
        <f t="shared" si="92"/>
        <v>100</v>
      </c>
      <c r="AZ118" s="483">
        <f t="shared" si="92"/>
        <v>1.5</v>
      </c>
    </row>
    <row r="119" spans="1:55" ht="13.95" customHeight="1" x14ac:dyDescent="0.25">
      <c r="A119" s="521"/>
      <c r="B119" s="515" t="s">
        <v>641</v>
      </c>
      <c r="C119" s="551">
        <f>'[2]7,9,25 Đào tạo TH'!F23</f>
        <v>1</v>
      </c>
      <c r="D119" s="555"/>
      <c r="E119" s="485">
        <f>$C119*$AW$11</f>
        <v>3</v>
      </c>
      <c r="F119" s="486"/>
      <c r="G119" s="485"/>
      <c r="H119" s="485"/>
      <c r="I119" s="518"/>
      <c r="J119" s="519"/>
      <c r="K119" s="485"/>
      <c r="L119" s="485"/>
      <c r="M119" s="518"/>
      <c r="N119" s="519"/>
      <c r="O119" s="485"/>
      <c r="P119" s="485"/>
      <c r="Q119" s="518"/>
      <c r="R119" s="519"/>
      <c r="S119" s="517"/>
      <c r="T119" s="517"/>
      <c r="U119" s="518"/>
      <c r="V119" s="519"/>
      <c r="W119" s="517"/>
      <c r="X119" s="517"/>
      <c r="Y119" s="518"/>
      <c r="Z119" s="519"/>
      <c r="AA119" s="517"/>
      <c r="AB119" s="517"/>
      <c r="AC119" s="518"/>
      <c r="AD119" s="519"/>
      <c r="AE119" s="517"/>
      <c r="AF119" s="517"/>
      <c r="AG119" s="517"/>
      <c r="AH119" s="517"/>
      <c r="AI119" s="485">
        <f t="shared" ref="AI119:AI125" si="94">AJ119+AL119+AK119</f>
        <v>0</v>
      </c>
      <c r="AJ119" s="485">
        <f t="shared" ref="AJ119:AL125" si="95">M119+Q119+U119+Y119+AC119</f>
        <v>0</v>
      </c>
      <c r="AK119" s="485">
        <f t="shared" si="95"/>
        <v>0</v>
      </c>
      <c r="AL119" s="485">
        <f t="shared" si="95"/>
        <v>0</v>
      </c>
      <c r="AM119" s="485"/>
      <c r="AN119" s="496"/>
      <c r="AO119" s="559">
        <f>'[4]Đao tao so lieu TH'!E23</f>
        <v>787</v>
      </c>
      <c r="AP119" s="559"/>
      <c r="AQ119" s="560">
        <f>'[4]Đao tao so lieu TH'!F23</f>
        <v>663</v>
      </c>
      <c r="AR119" s="560"/>
      <c r="AS119" s="498"/>
      <c r="AT119" s="258"/>
      <c r="AU119" s="490"/>
      <c r="AV119" s="552" t="str">
        <f t="shared" si="92"/>
        <v>Chuyên khoa cấp II</v>
      </c>
      <c r="AW119" s="492">
        <f t="shared" si="92"/>
        <v>87.5</v>
      </c>
      <c r="AX119" s="492">
        <f t="shared" si="92"/>
        <v>2</v>
      </c>
      <c r="AY119" s="492">
        <f t="shared" si="92"/>
        <v>72</v>
      </c>
      <c r="AZ119" s="255">
        <f t="shared" si="92"/>
        <v>1.5</v>
      </c>
    </row>
    <row r="120" spans="1:55" s="498" customFormat="1" ht="13.95" customHeight="1" x14ac:dyDescent="0.3">
      <c r="A120" s="521"/>
      <c r="B120" s="515" t="s">
        <v>642</v>
      </c>
      <c r="C120" s="551">
        <f>'[2]7,9,25 Đào tạo TH'!G23</f>
        <v>0</v>
      </c>
      <c r="D120" s="555"/>
      <c r="E120" s="532"/>
      <c r="F120" s="533"/>
      <c r="G120" s="532"/>
      <c r="H120" s="532"/>
      <c r="I120" s="485">
        <f>$C120*$AW$11</f>
        <v>0</v>
      </c>
      <c r="J120" s="487"/>
      <c r="K120" s="485"/>
      <c r="L120" s="485"/>
      <c r="M120" s="518"/>
      <c r="N120" s="519"/>
      <c r="O120" s="485"/>
      <c r="P120" s="485"/>
      <c r="Q120" s="518"/>
      <c r="R120" s="519"/>
      <c r="S120" s="485"/>
      <c r="T120" s="485"/>
      <c r="U120" s="518"/>
      <c r="V120" s="519"/>
      <c r="W120" s="517"/>
      <c r="X120" s="517"/>
      <c r="Y120" s="518"/>
      <c r="Z120" s="519"/>
      <c r="AA120" s="517"/>
      <c r="AB120" s="517"/>
      <c r="AC120" s="518"/>
      <c r="AD120" s="519"/>
      <c r="AE120" s="517"/>
      <c r="AF120" s="517"/>
      <c r="AG120" s="517"/>
      <c r="AH120" s="517"/>
      <c r="AI120" s="485">
        <f t="shared" si="94"/>
        <v>0</v>
      </c>
      <c r="AJ120" s="485">
        <f t="shared" si="95"/>
        <v>0</v>
      </c>
      <c r="AK120" s="485">
        <f t="shared" si="95"/>
        <v>0</v>
      </c>
      <c r="AL120" s="485">
        <f t="shared" si="95"/>
        <v>0</v>
      </c>
      <c r="AM120" s="485"/>
      <c r="AO120" s="548">
        <v>787</v>
      </c>
      <c r="AP120" s="548"/>
      <c r="AQ120" s="498">
        <v>663</v>
      </c>
      <c r="AS120" s="251"/>
      <c r="AT120" s="252"/>
      <c r="AU120" s="493"/>
      <c r="AV120" s="553" t="str">
        <f t="shared" si="92"/>
        <v>Bác sĩ nội trú</v>
      </c>
      <c r="AW120" s="255">
        <f t="shared" si="92"/>
        <v>68</v>
      </c>
      <c r="AX120" s="255">
        <f t="shared" si="92"/>
        <v>3</v>
      </c>
      <c r="AY120" s="255">
        <f t="shared" si="92"/>
        <v>63</v>
      </c>
      <c r="AZ120" s="255">
        <f t="shared" si="92"/>
        <v>1.5</v>
      </c>
    </row>
    <row r="121" spans="1:55" s="498" customFormat="1" ht="13.95" customHeight="1" x14ac:dyDescent="0.3">
      <c r="A121" s="523"/>
      <c r="B121" s="515" t="s">
        <v>643</v>
      </c>
      <c r="C121" s="551">
        <f>'[2]7,9,25 Đào tạo TH'!H23</f>
        <v>7</v>
      </c>
      <c r="D121" s="555"/>
      <c r="E121" s="523"/>
      <c r="F121" s="534"/>
      <c r="G121" s="523"/>
      <c r="H121" s="523"/>
      <c r="I121" s="523"/>
      <c r="J121" s="540"/>
      <c r="K121" s="523"/>
      <c r="L121" s="523"/>
      <c r="M121" s="485">
        <f>$C121*$AW$11</f>
        <v>21</v>
      </c>
      <c r="N121" s="487"/>
      <c r="O121" s="485"/>
      <c r="P121" s="485"/>
      <c r="Q121" s="518"/>
      <c r="R121" s="519"/>
      <c r="S121" s="485"/>
      <c r="T121" s="485"/>
      <c r="U121" s="518"/>
      <c r="V121" s="519"/>
      <c r="W121" s="485"/>
      <c r="X121" s="485"/>
      <c r="Y121" s="518"/>
      <c r="Z121" s="519"/>
      <c r="AA121" s="517"/>
      <c r="AB121" s="517"/>
      <c r="AC121" s="523"/>
      <c r="AD121" s="540"/>
      <c r="AE121" s="516"/>
      <c r="AF121" s="516"/>
      <c r="AG121" s="556">
        <f t="shared" ref="AG121:AH125" si="96">C121</f>
        <v>7</v>
      </c>
      <c r="AH121" s="556">
        <f t="shared" si="96"/>
        <v>0</v>
      </c>
      <c r="AI121" s="485">
        <f t="shared" si="94"/>
        <v>21</v>
      </c>
      <c r="AJ121" s="485">
        <f t="shared" si="95"/>
        <v>21</v>
      </c>
      <c r="AK121" s="485">
        <f t="shared" si="95"/>
        <v>0</v>
      </c>
      <c r="AL121" s="485">
        <f t="shared" si="95"/>
        <v>0</v>
      </c>
      <c r="AM121" s="485"/>
      <c r="AO121" s="548">
        <v>787</v>
      </c>
      <c r="AP121" s="548"/>
      <c r="AQ121" s="498">
        <v>14</v>
      </c>
      <c r="AS121" s="253"/>
      <c r="AT121" s="252"/>
      <c r="AU121" s="493"/>
      <c r="AV121" s="553" t="str">
        <f t="shared" si="92"/>
        <v>Thạc sĩ, chuyên khoa cấp I</v>
      </c>
      <c r="AW121" s="255">
        <f t="shared" si="92"/>
        <v>68</v>
      </c>
      <c r="AX121" s="255">
        <f t="shared" si="92"/>
        <v>2</v>
      </c>
      <c r="AY121" s="255">
        <f t="shared" si="92"/>
        <v>48</v>
      </c>
      <c r="AZ121" s="255">
        <f t="shared" si="92"/>
        <v>1.5</v>
      </c>
      <c r="BA121" s="253"/>
      <c r="BB121" s="253"/>
      <c r="BC121" s="251"/>
    </row>
    <row r="122" spans="1:55" s="498" customFormat="1" ht="13.95" customHeight="1" x14ac:dyDescent="0.3">
      <c r="A122" s="521"/>
      <c r="B122" s="515" t="s">
        <v>644</v>
      </c>
      <c r="C122" s="551">
        <f>'[2]7,9,25 Đào tạo TH'!I23</f>
        <v>9</v>
      </c>
      <c r="D122" s="555"/>
      <c r="E122" s="532"/>
      <c r="F122" s="533"/>
      <c r="G122" s="532"/>
      <c r="H122" s="532"/>
      <c r="I122" s="532"/>
      <c r="J122" s="541"/>
      <c r="K122" s="532"/>
      <c r="L122" s="532"/>
      <c r="M122" s="532"/>
      <c r="N122" s="541"/>
      <c r="O122" s="532"/>
      <c r="P122" s="532"/>
      <c r="Q122" s="485">
        <f>$C122*$AW$11</f>
        <v>27</v>
      </c>
      <c r="R122" s="487"/>
      <c r="S122" s="485"/>
      <c r="T122" s="485"/>
      <c r="U122" s="518"/>
      <c r="V122" s="519"/>
      <c r="W122" s="485"/>
      <c r="X122" s="485"/>
      <c r="Y122" s="518"/>
      <c r="Z122" s="519"/>
      <c r="AA122" s="485"/>
      <c r="AB122" s="485"/>
      <c r="AC122" s="518"/>
      <c r="AD122" s="519"/>
      <c r="AE122" s="517"/>
      <c r="AF122" s="517"/>
      <c r="AG122" s="556">
        <f t="shared" si="96"/>
        <v>9</v>
      </c>
      <c r="AH122" s="556">
        <f t="shared" si="96"/>
        <v>0</v>
      </c>
      <c r="AI122" s="485">
        <f t="shared" si="94"/>
        <v>27</v>
      </c>
      <c r="AJ122" s="485">
        <f t="shared" si="95"/>
        <v>27</v>
      </c>
      <c r="AK122" s="485">
        <f t="shared" si="95"/>
        <v>0</v>
      </c>
      <c r="AL122" s="485">
        <f t="shared" si="95"/>
        <v>0</v>
      </c>
      <c r="AM122" s="485"/>
      <c r="AN122" s="251"/>
      <c r="AO122" s="498">
        <v>663</v>
      </c>
      <c r="AQ122" s="498">
        <v>7</v>
      </c>
      <c r="AS122" s="496"/>
      <c r="AT122" s="258"/>
      <c r="AU122" s="490"/>
      <c r="AV122" s="552" t="str">
        <f t="shared" si="92"/>
        <v>Tốt nghiệp bác sĩ (TYT tuyến xã và huyện đảo)</v>
      </c>
      <c r="AW122" s="492">
        <f t="shared" si="92"/>
        <v>58</v>
      </c>
      <c r="AX122" s="492">
        <f t="shared" si="92"/>
        <v>4</v>
      </c>
      <c r="AY122" s="492">
        <f t="shared" si="92"/>
        <v>27</v>
      </c>
      <c r="AZ122" s="255">
        <f t="shared" si="92"/>
        <v>1.5</v>
      </c>
      <c r="BA122" s="496"/>
      <c r="BB122" s="496"/>
    </row>
    <row r="123" spans="1:55" ht="13.95" customHeight="1" x14ac:dyDescent="0.3">
      <c r="A123" s="523"/>
      <c r="B123" s="515" t="s">
        <v>645</v>
      </c>
      <c r="C123" s="551">
        <f>'[2]7,9,25 Đào tạo TH'!J23</f>
        <v>6</v>
      </c>
      <c r="D123" s="555"/>
      <c r="E123" s="523"/>
      <c r="F123" s="534"/>
      <c r="G123" s="523"/>
      <c r="H123" s="523"/>
      <c r="I123" s="523"/>
      <c r="J123" s="540"/>
      <c r="K123" s="523"/>
      <c r="L123" s="523"/>
      <c r="M123" s="523"/>
      <c r="N123" s="540"/>
      <c r="O123" s="523"/>
      <c r="P123" s="523"/>
      <c r="Q123" s="523"/>
      <c r="R123" s="540"/>
      <c r="S123" s="516"/>
      <c r="T123" s="516"/>
      <c r="U123" s="485">
        <f>$C123*$AW$11</f>
        <v>18</v>
      </c>
      <c r="V123" s="487"/>
      <c r="W123" s="485"/>
      <c r="X123" s="485"/>
      <c r="Y123" s="518"/>
      <c r="Z123" s="519"/>
      <c r="AA123" s="485"/>
      <c r="AB123" s="485"/>
      <c r="AC123" s="518"/>
      <c r="AD123" s="519"/>
      <c r="AE123" s="517"/>
      <c r="AF123" s="517"/>
      <c r="AG123" s="556">
        <f t="shared" si="96"/>
        <v>6</v>
      </c>
      <c r="AH123" s="556">
        <f t="shared" si="96"/>
        <v>0</v>
      </c>
      <c r="AI123" s="485">
        <f t="shared" si="94"/>
        <v>18</v>
      </c>
      <c r="AJ123" s="485">
        <f t="shared" si="95"/>
        <v>18</v>
      </c>
      <c r="AK123" s="485">
        <f t="shared" si="95"/>
        <v>0</v>
      </c>
      <c r="AL123" s="485">
        <f t="shared" si="95"/>
        <v>0</v>
      </c>
      <c r="AM123" s="485"/>
      <c r="AN123" s="498"/>
      <c r="AO123" s="498">
        <v>1129</v>
      </c>
      <c r="AP123" s="498"/>
      <c r="AQ123" s="498">
        <v>19</v>
      </c>
      <c r="AR123" s="498"/>
      <c r="AS123" s="253"/>
      <c r="AT123" s="498"/>
      <c r="AU123" s="498"/>
      <c r="AV123" s="552" t="str">
        <f t="shared" si="92"/>
        <v>Đào tạo chứng chỉ</v>
      </c>
      <c r="AW123" s="492">
        <f t="shared" si="92"/>
        <v>3</v>
      </c>
      <c r="AX123" s="492">
        <f t="shared" si="92"/>
        <v>1</v>
      </c>
      <c r="AY123" s="492">
        <f t="shared" si="92"/>
        <v>0</v>
      </c>
      <c r="AZ123" s="255">
        <f t="shared" si="92"/>
        <v>3</v>
      </c>
      <c r="BA123" s="253"/>
      <c r="BB123" s="253"/>
      <c r="BC123" s="253"/>
    </row>
    <row r="124" spans="1:55" s="498" customFormat="1" ht="13.95" customHeight="1" x14ac:dyDescent="0.3">
      <c r="A124" s="521"/>
      <c r="B124" s="515" t="s">
        <v>646</v>
      </c>
      <c r="C124" s="551">
        <f>'[2]7,9,25 Đào tạo TH'!K23</f>
        <v>8</v>
      </c>
      <c r="D124" s="555"/>
      <c r="E124" s="532"/>
      <c r="F124" s="533"/>
      <c r="G124" s="532"/>
      <c r="H124" s="532"/>
      <c r="I124" s="532"/>
      <c r="J124" s="541"/>
      <c r="K124" s="532"/>
      <c r="L124" s="532"/>
      <c r="M124" s="532"/>
      <c r="N124" s="541"/>
      <c r="O124" s="532"/>
      <c r="P124" s="532"/>
      <c r="Q124" s="532"/>
      <c r="R124" s="541"/>
      <c r="S124" s="516"/>
      <c r="T124" s="516"/>
      <c r="U124" s="532"/>
      <c r="V124" s="541"/>
      <c r="W124" s="532"/>
      <c r="X124" s="532"/>
      <c r="Y124" s="485">
        <f>$C124*$AW$11</f>
        <v>24</v>
      </c>
      <c r="Z124" s="487"/>
      <c r="AA124" s="485"/>
      <c r="AB124" s="485"/>
      <c r="AC124" s="518"/>
      <c r="AD124" s="519"/>
      <c r="AE124" s="517"/>
      <c r="AF124" s="517"/>
      <c r="AG124" s="556">
        <f t="shared" si="96"/>
        <v>8</v>
      </c>
      <c r="AH124" s="556">
        <f t="shared" si="96"/>
        <v>0</v>
      </c>
      <c r="AI124" s="485">
        <f t="shared" si="94"/>
        <v>24</v>
      </c>
      <c r="AJ124" s="485">
        <f t="shared" si="95"/>
        <v>24</v>
      </c>
      <c r="AK124" s="485">
        <f t="shared" si="95"/>
        <v>0</v>
      </c>
      <c r="AL124" s="485">
        <f t="shared" si="95"/>
        <v>0</v>
      </c>
      <c r="AM124" s="485"/>
      <c r="AN124" s="251"/>
      <c r="AO124" s="498">
        <v>1107</v>
      </c>
      <c r="AQ124" s="498">
        <v>7</v>
      </c>
      <c r="AS124" s="253"/>
      <c r="AY124" s="251"/>
      <c r="AZ124" s="251"/>
      <c r="BA124" s="253"/>
      <c r="BB124" s="253"/>
      <c r="BC124" s="496"/>
    </row>
    <row r="125" spans="1:55" ht="13.95" customHeight="1" x14ac:dyDescent="0.3">
      <c r="A125" s="523"/>
      <c r="B125" s="515" t="s">
        <v>647</v>
      </c>
      <c r="C125" s="551">
        <f>'[2]7,9,25 Đào tạo TH'!L23</f>
        <v>7</v>
      </c>
      <c r="D125" s="555"/>
      <c r="E125" s="523"/>
      <c r="F125" s="534"/>
      <c r="G125" s="523"/>
      <c r="H125" s="523"/>
      <c r="I125" s="523"/>
      <c r="J125" s="540"/>
      <c r="K125" s="523"/>
      <c r="L125" s="523"/>
      <c r="M125" s="523"/>
      <c r="N125" s="540"/>
      <c r="O125" s="523"/>
      <c r="P125" s="523"/>
      <c r="Q125" s="523"/>
      <c r="R125" s="540"/>
      <c r="S125" s="516"/>
      <c r="T125" s="516"/>
      <c r="U125" s="523"/>
      <c r="V125" s="540"/>
      <c r="W125" s="523"/>
      <c r="X125" s="523"/>
      <c r="Y125" s="523"/>
      <c r="Z125" s="540"/>
      <c r="AA125" s="485"/>
      <c r="AB125" s="485"/>
      <c r="AC125" s="485">
        <f>$C125*$AW$11</f>
        <v>21</v>
      </c>
      <c r="AD125" s="487"/>
      <c r="AE125" s="485"/>
      <c r="AF125" s="485"/>
      <c r="AG125" s="556">
        <f t="shared" si="96"/>
        <v>7</v>
      </c>
      <c r="AH125" s="556">
        <f t="shared" si="96"/>
        <v>0</v>
      </c>
      <c r="AI125" s="485">
        <f t="shared" si="94"/>
        <v>21</v>
      </c>
      <c r="AJ125" s="485">
        <f t="shared" si="95"/>
        <v>21</v>
      </c>
      <c r="AK125" s="485">
        <f t="shared" si="95"/>
        <v>0</v>
      </c>
      <c r="AL125" s="485">
        <f t="shared" si="95"/>
        <v>0</v>
      </c>
      <c r="AM125" s="485"/>
      <c r="AN125" s="498"/>
      <c r="AO125" s="498">
        <v>1050</v>
      </c>
      <c r="AP125" s="498"/>
      <c r="AQ125" s="498">
        <v>18</v>
      </c>
      <c r="AR125" s="498"/>
      <c r="AS125" s="498"/>
      <c r="AY125" s="498"/>
      <c r="AZ125" s="498"/>
      <c r="BA125" s="498"/>
      <c r="BB125" s="498"/>
      <c r="BC125" s="253"/>
    </row>
    <row r="126" spans="1:55" s="498" customFormat="1" ht="25.2" customHeight="1" x14ac:dyDescent="0.3">
      <c r="A126" s="256"/>
      <c r="B126" s="473" t="s">
        <v>540</v>
      </c>
      <c r="C126" s="259">
        <f t="shared" ref="C126:AL126" si="97">C127+C136+C145+C154+C163+C173</f>
        <v>8577</v>
      </c>
      <c r="D126" s="259">
        <f t="shared" si="97"/>
        <v>87</v>
      </c>
      <c r="E126" s="259">
        <f t="shared" si="97"/>
        <v>14019.5</v>
      </c>
      <c r="F126" s="259">
        <f t="shared" si="97"/>
        <v>8376</v>
      </c>
      <c r="G126" s="259">
        <f t="shared" si="97"/>
        <v>0</v>
      </c>
      <c r="H126" s="259"/>
      <c r="I126" s="259">
        <f t="shared" si="97"/>
        <v>25270.25</v>
      </c>
      <c r="J126" s="259">
        <f t="shared" si="97"/>
        <v>16656</v>
      </c>
      <c r="K126" s="259">
        <f t="shared" si="97"/>
        <v>792</v>
      </c>
      <c r="L126" s="259"/>
      <c r="M126" s="259">
        <f t="shared" si="97"/>
        <v>35235.5</v>
      </c>
      <c r="N126" s="259">
        <f t="shared" si="97"/>
        <v>38985.599999999999</v>
      </c>
      <c r="O126" s="259">
        <f t="shared" si="97"/>
        <v>21216</v>
      </c>
      <c r="P126" s="259"/>
      <c r="Q126" s="259">
        <f t="shared" si="97"/>
        <v>45541.75</v>
      </c>
      <c r="R126" s="259">
        <f t="shared" si="97"/>
        <v>45940.800000000003</v>
      </c>
      <c r="S126" s="259">
        <f t="shared" si="97"/>
        <v>16056</v>
      </c>
      <c r="T126" s="259"/>
      <c r="U126" s="259">
        <f t="shared" si="97"/>
        <v>47789.75</v>
      </c>
      <c r="V126" s="259">
        <f t="shared" si="97"/>
        <v>47016</v>
      </c>
      <c r="W126" s="259">
        <f t="shared" si="97"/>
        <v>26244</v>
      </c>
      <c r="X126" s="259"/>
      <c r="Y126" s="259">
        <f t="shared" si="97"/>
        <v>43648.75</v>
      </c>
      <c r="Z126" s="259">
        <f t="shared" si="97"/>
        <v>44740.800000000003</v>
      </c>
      <c r="AA126" s="259">
        <f t="shared" si="97"/>
        <v>21777</v>
      </c>
      <c r="AB126" s="259"/>
      <c r="AC126" s="259">
        <f t="shared" si="97"/>
        <v>39434.5</v>
      </c>
      <c r="AD126" s="259">
        <f t="shared" si="97"/>
        <v>41832</v>
      </c>
      <c r="AE126" s="259">
        <f t="shared" si="97"/>
        <v>22072</v>
      </c>
      <c r="AF126" s="259"/>
      <c r="AG126" s="259">
        <f t="shared" si="97"/>
        <v>6716</v>
      </c>
      <c r="AH126" s="259">
        <f t="shared" si="97"/>
        <v>79</v>
      </c>
      <c r="AI126" s="554">
        <f t="shared" si="97"/>
        <v>537530.44999999995</v>
      </c>
      <c r="AJ126" s="259">
        <f t="shared" si="97"/>
        <v>211650.25</v>
      </c>
      <c r="AK126" s="259">
        <f t="shared" si="97"/>
        <v>218515.20000000001</v>
      </c>
      <c r="AL126" s="259">
        <f t="shared" si="97"/>
        <v>107365</v>
      </c>
      <c r="AM126" s="259"/>
      <c r="AN126" s="251"/>
      <c r="AO126" s="498">
        <v>1072</v>
      </c>
      <c r="AQ126" s="251"/>
      <c r="AR126" s="251"/>
      <c r="AS126" s="251"/>
      <c r="AT126" s="253"/>
      <c r="AU126" s="253"/>
      <c r="AV126" s="253"/>
      <c r="AY126" s="251"/>
      <c r="AZ126" s="251"/>
      <c r="BA126" s="251"/>
      <c r="BB126" s="251"/>
      <c r="BC126" s="253"/>
    </row>
    <row r="127" spans="1:55" s="253" customFormat="1" ht="17.25" customHeight="1" x14ac:dyDescent="0.3">
      <c r="A127" s="501">
        <v>1</v>
      </c>
      <c r="B127" s="502" t="s">
        <v>29</v>
      </c>
      <c r="C127" s="501">
        <f>SUM(C128:C135)</f>
        <v>3</v>
      </c>
      <c r="D127" s="501">
        <f t="shared" ref="D127:AL127" si="98">SUM(D128:D135)</f>
        <v>0</v>
      </c>
      <c r="E127" s="501">
        <f t="shared" si="98"/>
        <v>0</v>
      </c>
      <c r="F127" s="501">
        <f t="shared" si="98"/>
        <v>0</v>
      </c>
      <c r="G127" s="501">
        <f t="shared" si="98"/>
        <v>0</v>
      </c>
      <c r="H127" s="501"/>
      <c r="I127" s="501">
        <f t="shared" si="98"/>
        <v>0</v>
      </c>
      <c r="J127" s="501">
        <f t="shared" si="98"/>
        <v>0</v>
      </c>
      <c r="K127" s="501">
        <f t="shared" si="98"/>
        <v>0</v>
      </c>
      <c r="L127" s="501"/>
      <c r="M127" s="501">
        <f t="shared" si="98"/>
        <v>43.75</v>
      </c>
      <c r="N127" s="501">
        <f t="shared" si="98"/>
        <v>24</v>
      </c>
      <c r="O127" s="501">
        <f t="shared" si="98"/>
        <v>0</v>
      </c>
      <c r="P127" s="501"/>
      <c r="Q127" s="501">
        <f t="shared" si="98"/>
        <v>131.25</v>
      </c>
      <c r="R127" s="501">
        <f t="shared" si="98"/>
        <v>72</v>
      </c>
      <c r="S127" s="501">
        <f t="shared" si="98"/>
        <v>0</v>
      </c>
      <c r="T127" s="501"/>
      <c r="U127" s="501">
        <f t="shared" si="98"/>
        <v>175</v>
      </c>
      <c r="V127" s="501">
        <f t="shared" si="98"/>
        <v>96</v>
      </c>
      <c r="W127" s="501">
        <f t="shared" si="98"/>
        <v>0</v>
      </c>
      <c r="X127" s="501"/>
      <c r="Y127" s="501">
        <f t="shared" si="98"/>
        <v>218.75</v>
      </c>
      <c r="Z127" s="501">
        <f t="shared" si="98"/>
        <v>120</v>
      </c>
      <c r="AA127" s="501">
        <f t="shared" si="98"/>
        <v>0</v>
      </c>
      <c r="AB127" s="501"/>
      <c r="AC127" s="501">
        <f t="shared" si="98"/>
        <v>218.75</v>
      </c>
      <c r="AD127" s="501">
        <f t="shared" si="98"/>
        <v>120</v>
      </c>
      <c r="AE127" s="501">
        <f t="shared" si="98"/>
        <v>100</v>
      </c>
      <c r="AF127" s="501"/>
      <c r="AG127" s="501">
        <f t="shared" si="98"/>
        <v>3</v>
      </c>
      <c r="AH127" s="501">
        <f t="shared" si="98"/>
        <v>0</v>
      </c>
      <c r="AI127" s="504">
        <f>SUM(AI128:AI135)</f>
        <v>1319.5</v>
      </c>
      <c r="AJ127" s="504">
        <f t="shared" si="98"/>
        <v>787.5</v>
      </c>
      <c r="AK127" s="504">
        <f t="shared" si="98"/>
        <v>432</v>
      </c>
      <c r="AL127" s="504">
        <f t="shared" si="98"/>
        <v>100</v>
      </c>
      <c r="AM127" s="504"/>
      <c r="AQ127" s="251"/>
      <c r="AR127" s="251"/>
      <c r="AS127" s="498"/>
      <c r="AT127" s="498"/>
      <c r="AU127" s="498"/>
      <c r="AV127" s="498"/>
      <c r="AW127" s="498">
        <v>21</v>
      </c>
      <c r="AX127" s="498"/>
      <c r="AY127" s="498"/>
      <c r="AZ127" s="498"/>
      <c r="BA127" s="498"/>
      <c r="BB127" s="498"/>
      <c r="BC127" s="498"/>
    </row>
    <row r="128" spans="1:55" s="561" customFormat="1" ht="13.95" customHeight="1" x14ac:dyDescent="0.3">
      <c r="A128" s="257"/>
      <c r="B128" s="505" t="s">
        <v>639</v>
      </c>
      <c r="C128" s="551">
        <f>'[2]7,9,25 Đào tạo TH'!E9</f>
        <v>0</v>
      </c>
      <c r="D128" s="544">
        <v>0</v>
      </c>
      <c r="E128" s="518">
        <f>($C128*$AW$6)</f>
        <v>0</v>
      </c>
      <c r="F128" s="519">
        <f>(4.8*10*$C128)</f>
        <v>0</v>
      </c>
      <c r="G128" s="517"/>
      <c r="H128" s="517"/>
      <c r="I128" s="518">
        <f>E128</f>
        <v>0</v>
      </c>
      <c r="J128" s="519">
        <f>F128</f>
        <v>0</v>
      </c>
      <c r="K128" s="517"/>
      <c r="L128" s="517"/>
      <c r="M128" s="518">
        <f>I128</f>
        <v>0</v>
      </c>
      <c r="N128" s="519">
        <f>J128</f>
        <v>0</v>
      </c>
      <c r="O128" s="517"/>
      <c r="P128" s="517"/>
      <c r="Q128" s="518">
        <f>E128/2</f>
        <v>0</v>
      </c>
      <c r="R128" s="519">
        <f>F128/2</f>
        <v>0</v>
      </c>
      <c r="S128" s="517">
        <f>($C128-$D128)*$AY$6+($D128*$AY$6*$AZ$6)</f>
        <v>0</v>
      </c>
      <c r="T128" s="517"/>
      <c r="U128" s="518"/>
      <c r="V128" s="519"/>
      <c r="W128" s="517"/>
      <c r="X128" s="517"/>
      <c r="Y128" s="518"/>
      <c r="Z128" s="519"/>
      <c r="AA128" s="485"/>
      <c r="AB128" s="485"/>
      <c r="AC128" s="518"/>
      <c r="AD128" s="519"/>
      <c r="AE128" s="485"/>
      <c r="AF128" s="485"/>
      <c r="AG128" s="508"/>
      <c r="AH128" s="508"/>
      <c r="AI128" s="508">
        <f>AJ128+AL128+AK128</f>
        <v>0</v>
      </c>
      <c r="AJ128" s="508">
        <f t="shared" ref="AJ128:AL135" si="99">M128+Q128+U128+Y128+AC128</f>
        <v>0</v>
      </c>
      <c r="AK128" s="508">
        <f t="shared" si="99"/>
        <v>0</v>
      </c>
      <c r="AL128" s="508">
        <f t="shared" si="99"/>
        <v>0</v>
      </c>
      <c r="AM128" s="508"/>
      <c r="AS128" s="514"/>
      <c r="AT128" s="514"/>
      <c r="AU128" s="514"/>
      <c r="AV128" s="514"/>
      <c r="AW128" s="514"/>
      <c r="AX128" s="514"/>
      <c r="AY128" s="514"/>
      <c r="AZ128" s="514"/>
      <c r="BA128" s="513"/>
      <c r="BB128" s="513"/>
      <c r="BC128" s="513"/>
    </row>
    <row r="129" spans="1:55" s="496" customFormat="1" ht="13.95" customHeight="1" x14ac:dyDescent="0.3">
      <c r="A129" s="256"/>
      <c r="B129" s="515" t="s">
        <v>641</v>
      </c>
      <c r="C129" s="551">
        <f>'[2]7,9,25 Đào tạo TH'!F9</f>
        <v>0</v>
      </c>
      <c r="D129" s="555">
        <v>0</v>
      </c>
      <c r="E129" s="518">
        <f>($C129*$AW$6)/2</f>
        <v>0</v>
      </c>
      <c r="F129" s="519">
        <f>(4.8*10*$C129)/2</f>
        <v>0</v>
      </c>
      <c r="G129" s="517"/>
      <c r="H129" s="517"/>
      <c r="I129" s="518">
        <f>E129*2</f>
        <v>0</v>
      </c>
      <c r="J129" s="519">
        <f>F129*2</f>
        <v>0</v>
      </c>
      <c r="K129" s="517"/>
      <c r="L129" s="517"/>
      <c r="M129" s="518">
        <f>I129</f>
        <v>0</v>
      </c>
      <c r="N129" s="519">
        <f>J129</f>
        <v>0</v>
      </c>
      <c r="O129" s="517"/>
      <c r="P129" s="517"/>
      <c r="Q129" s="518">
        <f>M129</f>
        <v>0</v>
      </c>
      <c r="R129" s="519">
        <f>N129</f>
        <v>0</v>
      </c>
      <c r="S129" s="517"/>
      <c r="T129" s="517"/>
      <c r="U129" s="518">
        <f>E129</f>
        <v>0</v>
      </c>
      <c r="V129" s="519">
        <f>F129</f>
        <v>0</v>
      </c>
      <c r="W129" s="517">
        <f>($C129-$D129)*$AY$6+($D129*$AY$6*$AZ$6)</f>
        <v>0</v>
      </c>
      <c r="X129" s="517"/>
      <c r="Y129" s="518"/>
      <c r="Z129" s="519"/>
      <c r="AA129" s="517"/>
      <c r="AB129" s="517"/>
      <c r="AC129" s="518"/>
      <c r="AD129" s="519"/>
      <c r="AE129" s="485"/>
      <c r="AF129" s="485"/>
      <c r="AG129" s="485"/>
      <c r="AH129" s="485"/>
      <c r="AI129" s="485">
        <f t="shared" ref="AI129:AI135" si="100">AJ129+AL129+AK129</f>
        <v>0</v>
      </c>
      <c r="AJ129" s="485">
        <f t="shared" si="99"/>
        <v>0</v>
      </c>
      <c r="AK129" s="485">
        <f t="shared" si="99"/>
        <v>0</v>
      </c>
      <c r="AL129" s="485">
        <f t="shared" si="99"/>
        <v>0</v>
      </c>
      <c r="AM129" s="485"/>
      <c r="AS129" s="498"/>
      <c r="AT129" s="498"/>
      <c r="AU129" s="498"/>
      <c r="AV129" s="498"/>
      <c r="AW129" s="498"/>
      <c r="AX129" s="498"/>
      <c r="AY129" s="498"/>
      <c r="AZ129" s="498"/>
      <c r="BA129" s="251"/>
      <c r="BB129" s="251"/>
      <c r="BC129" s="251"/>
    </row>
    <row r="130" spans="1:55" s="253" customFormat="1" ht="13.95" customHeight="1" x14ac:dyDescent="0.3">
      <c r="A130" s="521"/>
      <c r="B130" s="515" t="s">
        <v>642</v>
      </c>
      <c r="C130" s="551">
        <f>'[2]7,9,25 Đào tạo TH'!G9</f>
        <v>0</v>
      </c>
      <c r="D130" s="555">
        <v>0</v>
      </c>
      <c r="E130" s="485"/>
      <c r="F130" s="486"/>
      <c r="G130" s="517"/>
      <c r="H130" s="517"/>
      <c r="I130" s="518">
        <f>($C130*$AW$6)/2</f>
        <v>0</v>
      </c>
      <c r="J130" s="519">
        <f>(4.8*10*$C130)/2</f>
        <v>0</v>
      </c>
      <c r="K130" s="517"/>
      <c r="L130" s="517"/>
      <c r="M130" s="518">
        <f>I130*2</f>
        <v>0</v>
      </c>
      <c r="N130" s="519">
        <f>J130*2</f>
        <v>0</v>
      </c>
      <c r="O130" s="517"/>
      <c r="P130" s="517"/>
      <c r="Q130" s="518">
        <f>M130</f>
        <v>0</v>
      </c>
      <c r="R130" s="519">
        <f>N130</f>
        <v>0</v>
      </c>
      <c r="S130" s="517"/>
      <c r="T130" s="517"/>
      <c r="U130" s="518">
        <f>Q130</f>
        <v>0</v>
      </c>
      <c r="V130" s="519">
        <f>R130</f>
        <v>0</v>
      </c>
      <c r="W130" s="517"/>
      <c r="X130" s="517"/>
      <c r="Y130" s="518">
        <f>I130</f>
        <v>0</v>
      </c>
      <c r="Z130" s="519">
        <f>J130</f>
        <v>0</v>
      </c>
      <c r="AA130" s="517">
        <f>($C130-$D130)*$AY$6+($D130*$AY$6*$AZ$6)</f>
        <v>0</v>
      </c>
      <c r="AB130" s="517"/>
      <c r="AC130" s="518"/>
      <c r="AD130" s="519"/>
      <c r="AE130" s="517"/>
      <c r="AF130" s="517"/>
      <c r="AG130" s="517"/>
      <c r="AH130" s="517"/>
      <c r="AI130" s="485">
        <f t="shared" si="100"/>
        <v>0</v>
      </c>
      <c r="AJ130" s="485">
        <f t="shared" si="99"/>
        <v>0</v>
      </c>
      <c r="AK130" s="485">
        <f t="shared" si="99"/>
        <v>0</v>
      </c>
      <c r="AL130" s="485">
        <f t="shared" si="99"/>
        <v>0</v>
      </c>
      <c r="AM130" s="485"/>
      <c r="AN130" s="520" t="s">
        <v>640</v>
      </c>
      <c r="AS130" s="251"/>
      <c r="AT130" s="251"/>
      <c r="AU130" s="251"/>
      <c r="AV130" s="251"/>
      <c r="AW130" s="498"/>
      <c r="AX130" s="498"/>
      <c r="AY130" s="498"/>
      <c r="AZ130" s="498"/>
      <c r="BA130" s="498"/>
      <c r="BB130" s="498"/>
      <c r="BC130" s="498"/>
    </row>
    <row r="131" spans="1:55" s="253" customFormat="1" ht="13.95" customHeight="1" x14ac:dyDescent="0.3">
      <c r="A131" s="523"/>
      <c r="B131" s="515" t="s">
        <v>643</v>
      </c>
      <c r="C131" s="551">
        <f>'[2]7,9,25 Đào tạo TH'!H9</f>
        <v>1</v>
      </c>
      <c r="D131" s="555">
        <v>0</v>
      </c>
      <c r="E131" s="516"/>
      <c r="F131" s="525"/>
      <c r="G131" s="516"/>
      <c r="H131" s="516"/>
      <c r="I131" s="526"/>
      <c r="J131" s="527"/>
      <c r="K131" s="516"/>
      <c r="L131" s="516"/>
      <c r="M131" s="518">
        <f>($C131*$AW$6)/2</f>
        <v>43.75</v>
      </c>
      <c r="N131" s="519">
        <f>(4.8*10*$C131)/2</f>
        <v>24</v>
      </c>
      <c r="O131" s="517"/>
      <c r="P131" s="517"/>
      <c r="Q131" s="518">
        <f>M131*2</f>
        <v>87.5</v>
      </c>
      <c r="R131" s="519">
        <f>N131*2</f>
        <v>48</v>
      </c>
      <c r="S131" s="517"/>
      <c r="T131" s="517"/>
      <c r="U131" s="518">
        <f>Q131</f>
        <v>87.5</v>
      </c>
      <c r="V131" s="519">
        <f>R131</f>
        <v>48</v>
      </c>
      <c r="W131" s="517"/>
      <c r="X131" s="517"/>
      <c r="Y131" s="518">
        <f>U131</f>
        <v>87.5</v>
      </c>
      <c r="Z131" s="519">
        <f>V131</f>
        <v>48</v>
      </c>
      <c r="AA131" s="517"/>
      <c r="AB131" s="517"/>
      <c r="AC131" s="518">
        <f>M131</f>
        <v>43.75</v>
      </c>
      <c r="AD131" s="519">
        <f>N131</f>
        <v>24</v>
      </c>
      <c r="AE131" s="517">
        <f>($C131-$D131)*$AY$6+($D131*$AY$6*$AZ$6)</f>
        <v>100</v>
      </c>
      <c r="AF131" s="517"/>
      <c r="AG131" s="556">
        <f t="shared" ref="AG131:AH135" si="101">C131</f>
        <v>1</v>
      </c>
      <c r="AH131" s="556">
        <f t="shared" si="101"/>
        <v>0</v>
      </c>
      <c r="AI131" s="485">
        <f t="shared" si="100"/>
        <v>642</v>
      </c>
      <c r="AJ131" s="485">
        <f t="shared" si="99"/>
        <v>350</v>
      </c>
      <c r="AK131" s="485">
        <f t="shared" si="99"/>
        <v>192</v>
      </c>
      <c r="AL131" s="485">
        <f t="shared" si="99"/>
        <v>100</v>
      </c>
      <c r="AM131" s="485"/>
      <c r="AN131" s="498"/>
      <c r="AT131" s="498"/>
      <c r="AU131" s="498"/>
      <c r="AV131" s="498"/>
      <c r="AW131" s="498"/>
      <c r="AX131" s="498"/>
      <c r="AY131" s="251"/>
      <c r="AZ131" s="251"/>
      <c r="BA131" s="251"/>
      <c r="BB131" s="251"/>
      <c r="BC131" s="251"/>
    </row>
    <row r="132" spans="1:55" s="498" customFormat="1" ht="13.95" customHeight="1" x14ac:dyDescent="0.3">
      <c r="A132" s="521"/>
      <c r="B132" s="515" t="s">
        <v>644</v>
      </c>
      <c r="C132" s="551">
        <f>'[2]7,9,25 Đào tạo TH'!I9</f>
        <v>1</v>
      </c>
      <c r="D132" s="555">
        <v>0</v>
      </c>
      <c r="E132" s="517"/>
      <c r="F132" s="486"/>
      <c r="G132" s="517"/>
      <c r="H132" s="517"/>
      <c r="I132" s="518"/>
      <c r="J132" s="519"/>
      <c r="K132" s="517"/>
      <c r="L132" s="517"/>
      <c r="M132" s="518"/>
      <c r="N132" s="519"/>
      <c r="O132" s="517"/>
      <c r="P132" s="517"/>
      <c r="Q132" s="518">
        <f>($C132*$AW$6)/2</f>
        <v>43.75</v>
      </c>
      <c r="R132" s="519">
        <f>(4.8*10*$C132)/2</f>
        <v>24</v>
      </c>
      <c r="S132" s="517"/>
      <c r="T132" s="517"/>
      <c r="U132" s="518">
        <f>Q132*2</f>
        <v>87.5</v>
      </c>
      <c r="V132" s="519">
        <f>R132*2</f>
        <v>48</v>
      </c>
      <c r="W132" s="517"/>
      <c r="X132" s="517"/>
      <c r="Y132" s="518">
        <f>U132</f>
        <v>87.5</v>
      </c>
      <c r="Z132" s="519">
        <f>V132</f>
        <v>48</v>
      </c>
      <c r="AA132" s="517"/>
      <c r="AB132" s="517"/>
      <c r="AC132" s="518">
        <f>Y132</f>
        <v>87.5</v>
      </c>
      <c r="AD132" s="519">
        <f>Z132</f>
        <v>48</v>
      </c>
      <c r="AE132" s="517"/>
      <c r="AF132" s="517"/>
      <c r="AG132" s="556">
        <f t="shared" si="101"/>
        <v>1</v>
      </c>
      <c r="AH132" s="556">
        <f t="shared" si="101"/>
        <v>0</v>
      </c>
      <c r="AI132" s="485">
        <f t="shared" si="100"/>
        <v>474.25</v>
      </c>
      <c r="AJ132" s="485">
        <f t="shared" si="99"/>
        <v>306.25</v>
      </c>
      <c r="AK132" s="485">
        <f t="shared" si="99"/>
        <v>168</v>
      </c>
      <c r="AL132" s="485">
        <f t="shared" si="99"/>
        <v>0</v>
      </c>
      <c r="AM132" s="485"/>
      <c r="AN132" s="251"/>
      <c r="AT132" s="251"/>
      <c r="AU132" s="251"/>
      <c r="AV132" s="251"/>
      <c r="AW132" s="251"/>
      <c r="AX132" s="251"/>
    </row>
    <row r="133" spans="1:55" ht="13.95" customHeight="1" x14ac:dyDescent="0.3">
      <c r="A133" s="523"/>
      <c r="B133" s="515" t="s">
        <v>645</v>
      </c>
      <c r="C133" s="551">
        <f>'[2]7,9,25 Đào tạo TH'!J9</f>
        <v>0</v>
      </c>
      <c r="D133" s="555">
        <v>0</v>
      </c>
      <c r="E133" s="516"/>
      <c r="F133" s="525"/>
      <c r="G133" s="516"/>
      <c r="H133" s="516"/>
      <c r="I133" s="526"/>
      <c r="J133" s="527"/>
      <c r="K133" s="516"/>
      <c r="L133" s="516"/>
      <c r="M133" s="526"/>
      <c r="N133" s="527"/>
      <c r="O133" s="516"/>
      <c r="P133" s="516"/>
      <c r="Q133" s="526"/>
      <c r="R133" s="519"/>
      <c r="S133" s="557"/>
      <c r="T133" s="557"/>
      <c r="U133" s="518">
        <f>($C133*$AW$6)/2</f>
        <v>0</v>
      </c>
      <c r="V133" s="519">
        <f>(4.8*10*$C133)/2</f>
        <v>0</v>
      </c>
      <c r="W133" s="517"/>
      <c r="X133" s="517"/>
      <c r="Y133" s="518">
        <f>U133*2</f>
        <v>0</v>
      </c>
      <c r="Z133" s="519">
        <f>V133*2</f>
        <v>0</v>
      </c>
      <c r="AA133" s="517"/>
      <c r="AB133" s="517"/>
      <c r="AC133" s="518">
        <f>Y133</f>
        <v>0</v>
      </c>
      <c r="AD133" s="519">
        <f>Z133</f>
        <v>0</v>
      </c>
      <c r="AE133" s="517"/>
      <c r="AF133" s="517"/>
      <c r="AG133" s="556">
        <f t="shared" si="101"/>
        <v>0</v>
      </c>
      <c r="AH133" s="556">
        <f t="shared" si="101"/>
        <v>0</v>
      </c>
      <c r="AI133" s="485">
        <f t="shared" si="100"/>
        <v>0</v>
      </c>
      <c r="AJ133" s="485">
        <f t="shared" si="99"/>
        <v>0</v>
      </c>
      <c r="AK133" s="485">
        <f t="shared" si="99"/>
        <v>0</v>
      </c>
      <c r="AL133" s="485">
        <f t="shared" si="99"/>
        <v>0</v>
      </c>
      <c r="AM133" s="485"/>
      <c r="AS133" s="498"/>
      <c r="AT133" s="498"/>
      <c r="AU133" s="498"/>
      <c r="AV133" s="498"/>
      <c r="AW133" s="498"/>
      <c r="AX133" s="498"/>
      <c r="BA133" s="498"/>
      <c r="BB133" s="498"/>
    </row>
    <row r="134" spans="1:55" s="498" customFormat="1" ht="13.95" customHeight="1" x14ac:dyDescent="0.3">
      <c r="A134" s="521"/>
      <c r="B134" s="515" t="s">
        <v>646</v>
      </c>
      <c r="C134" s="551">
        <f>'[2]7,9,25 Đào tạo TH'!K9</f>
        <v>1</v>
      </c>
      <c r="D134" s="555">
        <v>0</v>
      </c>
      <c r="E134" s="517"/>
      <c r="F134" s="486"/>
      <c r="G134" s="517"/>
      <c r="H134" s="517"/>
      <c r="I134" s="518"/>
      <c r="J134" s="519"/>
      <c r="K134" s="517"/>
      <c r="L134" s="517"/>
      <c r="M134" s="518"/>
      <c r="N134" s="519"/>
      <c r="O134" s="517"/>
      <c r="P134" s="517"/>
      <c r="Q134" s="518"/>
      <c r="R134" s="519"/>
      <c r="S134" s="558"/>
      <c r="T134" s="558"/>
      <c r="U134" s="518"/>
      <c r="V134" s="519"/>
      <c r="W134" s="517"/>
      <c r="X134" s="517"/>
      <c r="Y134" s="518">
        <f>($C134*$AW$6)/2</f>
        <v>43.75</v>
      </c>
      <c r="Z134" s="519">
        <f>(4.8*10*$C134)/2</f>
        <v>24</v>
      </c>
      <c r="AA134" s="517"/>
      <c r="AB134" s="517"/>
      <c r="AC134" s="518">
        <f>Y134*2</f>
        <v>87.5</v>
      </c>
      <c r="AD134" s="519">
        <f>Z134*2</f>
        <v>48</v>
      </c>
      <c r="AE134" s="517"/>
      <c r="AF134" s="517"/>
      <c r="AG134" s="556">
        <f t="shared" si="101"/>
        <v>1</v>
      </c>
      <c r="AH134" s="556">
        <f t="shared" si="101"/>
        <v>0</v>
      </c>
      <c r="AI134" s="485">
        <f t="shared" si="100"/>
        <v>203.25</v>
      </c>
      <c r="AJ134" s="485">
        <f t="shared" si="99"/>
        <v>131.25</v>
      </c>
      <c r="AK134" s="485">
        <f t="shared" si="99"/>
        <v>72</v>
      </c>
      <c r="AL134" s="485">
        <f t="shared" si="99"/>
        <v>0</v>
      </c>
      <c r="AM134" s="485"/>
      <c r="AN134" s="251"/>
      <c r="AO134" s="251"/>
      <c r="AP134" s="251"/>
      <c r="AS134" s="251"/>
      <c r="AT134" s="251"/>
      <c r="AU134" s="251"/>
      <c r="AV134" s="251"/>
      <c r="AW134" s="251"/>
      <c r="AX134" s="251"/>
    </row>
    <row r="135" spans="1:55" ht="13.95" customHeight="1" x14ac:dyDescent="0.3">
      <c r="A135" s="523"/>
      <c r="B135" s="515" t="s">
        <v>647</v>
      </c>
      <c r="C135" s="551">
        <f>'[2]7,9,25 Đào tạo TH'!L9</f>
        <v>0</v>
      </c>
      <c r="D135" s="555">
        <v>0</v>
      </c>
      <c r="E135" s="516"/>
      <c r="F135" s="525"/>
      <c r="G135" s="516"/>
      <c r="H135" s="516"/>
      <c r="I135" s="526"/>
      <c r="J135" s="527"/>
      <c r="K135" s="516"/>
      <c r="L135" s="516"/>
      <c r="M135" s="526"/>
      <c r="N135" s="527"/>
      <c r="O135" s="516"/>
      <c r="P135" s="516"/>
      <c r="Q135" s="526"/>
      <c r="R135" s="527"/>
      <c r="S135" s="557"/>
      <c r="T135" s="557"/>
      <c r="U135" s="526"/>
      <c r="V135" s="527"/>
      <c r="W135" s="516"/>
      <c r="X135" s="516"/>
      <c r="Y135" s="526"/>
      <c r="Z135" s="527"/>
      <c r="AA135" s="516"/>
      <c r="AB135" s="516"/>
      <c r="AC135" s="518">
        <f>($C135*$AW$6)/2</f>
        <v>0</v>
      </c>
      <c r="AD135" s="519">
        <f>(4.8*10*$C135)/2</f>
        <v>0</v>
      </c>
      <c r="AE135" s="517"/>
      <c r="AF135" s="517"/>
      <c r="AG135" s="556">
        <f t="shared" si="101"/>
        <v>0</v>
      </c>
      <c r="AH135" s="556">
        <f t="shared" si="101"/>
        <v>0</v>
      </c>
      <c r="AI135" s="485">
        <f t="shared" si="100"/>
        <v>0</v>
      </c>
      <c r="AJ135" s="485">
        <f t="shared" si="99"/>
        <v>0</v>
      </c>
      <c r="AK135" s="485">
        <f t="shared" si="99"/>
        <v>0</v>
      </c>
      <c r="AL135" s="485">
        <f t="shared" si="99"/>
        <v>0</v>
      </c>
      <c r="AM135" s="485"/>
      <c r="AN135" s="498"/>
      <c r="AQ135" s="498"/>
      <c r="AR135" s="498"/>
      <c r="AS135" s="498"/>
      <c r="AT135" s="253"/>
      <c r="AU135" s="253"/>
      <c r="AV135" s="253"/>
      <c r="AW135" s="498"/>
      <c r="AX135" s="498"/>
      <c r="BC135" s="498"/>
    </row>
    <row r="136" spans="1:55" s="498" customFormat="1" ht="13.95" customHeight="1" x14ac:dyDescent="0.3">
      <c r="A136" s="501">
        <v>2</v>
      </c>
      <c r="B136" s="502" t="s">
        <v>30</v>
      </c>
      <c r="C136" s="503">
        <f>SUM(C137:C144)</f>
        <v>185</v>
      </c>
      <c r="D136" s="503">
        <f t="shared" ref="D136:AL136" si="102">SUM(D137:D144)</f>
        <v>16</v>
      </c>
      <c r="E136" s="503">
        <f t="shared" si="102"/>
        <v>1312.5</v>
      </c>
      <c r="F136" s="503">
        <f t="shared" si="102"/>
        <v>720</v>
      </c>
      <c r="G136" s="503">
        <f t="shared" si="102"/>
        <v>0</v>
      </c>
      <c r="H136" s="503"/>
      <c r="I136" s="503">
        <f t="shared" si="102"/>
        <v>1706.25</v>
      </c>
      <c r="J136" s="503">
        <f t="shared" si="102"/>
        <v>936</v>
      </c>
      <c r="K136" s="503">
        <f t="shared" si="102"/>
        <v>792</v>
      </c>
      <c r="L136" s="503"/>
      <c r="M136" s="503">
        <f t="shared" si="102"/>
        <v>3368.75</v>
      </c>
      <c r="N136" s="503">
        <f t="shared" si="102"/>
        <v>1848</v>
      </c>
      <c r="O136" s="503">
        <f t="shared" si="102"/>
        <v>576</v>
      </c>
      <c r="P136" s="503"/>
      <c r="Q136" s="503">
        <f t="shared" si="102"/>
        <v>5862.5</v>
      </c>
      <c r="R136" s="503">
        <f t="shared" si="102"/>
        <v>3216</v>
      </c>
      <c r="S136" s="503">
        <f t="shared" si="102"/>
        <v>936</v>
      </c>
      <c r="T136" s="503"/>
      <c r="U136" s="503">
        <f t="shared" si="102"/>
        <v>6168.75</v>
      </c>
      <c r="V136" s="503">
        <f t="shared" si="102"/>
        <v>3384</v>
      </c>
      <c r="W136" s="503">
        <f t="shared" si="102"/>
        <v>3348</v>
      </c>
      <c r="X136" s="503"/>
      <c r="Y136" s="503">
        <f t="shared" si="102"/>
        <v>5250</v>
      </c>
      <c r="Z136" s="503">
        <f t="shared" si="102"/>
        <v>2880</v>
      </c>
      <c r="AA136" s="503">
        <f t="shared" si="102"/>
        <v>2376</v>
      </c>
      <c r="AB136" s="503"/>
      <c r="AC136" s="503">
        <f t="shared" si="102"/>
        <v>4418.75</v>
      </c>
      <c r="AD136" s="503">
        <f t="shared" si="102"/>
        <v>2424</v>
      </c>
      <c r="AE136" s="503">
        <f t="shared" si="102"/>
        <v>2412</v>
      </c>
      <c r="AF136" s="503"/>
      <c r="AG136" s="503">
        <f t="shared" si="102"/>
        <v>154</v>
      </c>
      <c r="AH136" s="503">
        <f t="shared" si="102"/>
        <v>14</v>
      </c>
      <c r="AI136" s="503">
        <f t="shared" si="102"/>
        <v>48468.75</v>
      </c>
      <c r="AJ136" s="503">
        <f t="shared" si="102"/>
        <v>25068.75</v>
      </c>
      <c r="AK136" s="503">
        <f t="shared" si="102"/>
        <v>13752</v>
      </c>
      <c r="AL136" s="503">
        <f t="shared" si="102"/>
        <v>9648</v>
      </c>
      <c r="AM136" s="504"/>
      <c r="AN136" s="251"/>
      <c r="AQ136" s="251"/>
      <c r="AR136" s="251"/>
      <c r="AS136" s="251"/>
      <c r="AT136" s="529"/>
      <c r="AU136" s="529"/>
      <c r="AV136" s="529"/>
      <c r="AW136" s="251"/>
      <c r="AX136" s="251"/>
      <c r="AY136" s="496"/>
      <c r="AZ136" s="496"/>
    </row>
    <row r="137" spans="1:55" s="561" customFormat="1" ht="13.95" customHeight="1" x14ac:dyDescent="0.3">
      <c r="A137" s="257"/>
      <c r="B137" s="505" t="s">
        <v>639</v>
      </c>
      <c r="C137" s="551">
        <f>'[2]7,9,25 Đào tạo TH'!E12</f>
        <v>11</v>
      </c>
      <c r="D137" s="544">
        <v>0</v>
      </c>
      <c r="E137" s="518">
        <f>($C137*$AW$7)</f>
        <v>962.5</v>
      </c>
      <c r="F137" s="519">
        <f>(4.8*10*$C137)</f>
        <v>528</v>
      </c>
      <c r="G137" s="517"/>
      <c r="H137" s="517"/>
      <c r="I137" s="518">
        <f>E137/2</f>
        <v>481.25</v>
      </c>
      <c r="J137" s="519">
        <f>F137/2</f>
        <v>264</v>
      </c>
      <c r="K137" s="517">
        <f>($C137-$D137)*$AY$7+($D137*$AY$7*$AZ$7)</f>
        <v>792</v>
      </c>
      <c r="L137" s="517"/>
      <c r="M137" s="518"/>
      <c r="N137" s="519"/>
      <c r="O137" s="517"/>
      <c r="P137" s="517"/>
      <c r="Q137" s="518"/>
      <c r="R137" s="519"/>
      <c r="S137" s="517"/>
      <c r="T137" s="517"/>
      <c r="U137" s="518"/>
      <c r="V137" s="519"/>
      <c r="W137" s="517"/>
      <c r="X137" s="517"/>
      <c r="Y137" s="518"/>
      <c r="Z137" s="519"/>
      <c r="AA137" s="517"/>
      <c r="AB137" s="517"/>
      <c r="AC137" s="518"/>
      <c r="AD137" s="519"/>
      <c r="AE137" s="517"/>
      <c r="AF137" s="517"/>
      <c r="AG137" s="508"/>
      <c r="AH137" s="508"/>
      <c r="AI137" s="508">
        <f t="shared" ref="AI137:AI144" si="103">AJ137+AL137+AK137</f>
        <v>0</v>
      </c>
      <c r="AJ137" s="508">
        <f t="shared" ref="AJ137:AL144" si="104">M137+Q137+U137+Y137+AC137</f>
        <v>0</v>
      </c>
      <c r="AK137" s="508">
        <f t="shared" si="104"/>
        <v>0</v>
      </c>
      <c r="AL137" s="508">
        <f t="shared" si="104"/>
        <v>0</v>
      </c>
      <c r="AM137" s="508"/>
      <c r="AS137" s="514"/>
      <c r="AT137" s="514"/>
      <c r="AU137" s="514"/>
      <c r="AV137" s="514"/>
      <c r="AW137" s="514"/>
      <c r="AX137" s="514"/>
      <c r="AY137" s="514"/>
      <c r="AZ137" s="514"/>
      <c r="BA137" s="513"/>
      <c r="BB137" s="513"/>
      <c r="BC137" s="513"/>
    </row>
    <row r="138" spans="1:55" ht="13.95" customHeight="1" x14ac:dyDescent="0.3">
      <c r="A138" s="521"/>
      <c r="B138" s="515" t="s">
        <v>641</v>
      </c>
      <c r="C138" s="551">
        <f>'[2]7,9,25 Đào tạo TH'!F12</f>
        <v>8</v>
      </c>
      <c r="D138" s="555">
        <v>0</v>
      </c>
      <c r="E138" s="518">
        <f>($C138*$AW$7)/2</f>
        <v>350</v>
      </c>
      <c r="F138" s="519">
        <f>(4.8*10*$C138)/2</f>
        <v>192</v>
      </c>
      <c r="G138" s="517"/>
      <c r="H138" s="517"/>
      <c r="I138" s="518">
        <f>($C138*$AW$7)</f>
        <v>700</v>
      </c>
      <c r="J138" s="519">
        <f>(4.8*10*$C138)</f>
        <v>384</v>
      </c>
      <c r="K138" s="517"/>
      <c r="L138" s="517"/>
      <c r="M138" s="518">
        <f>I138/2</f>
        <v>350</v>
      </c>
      <c r="N138" s="519">
        <f>J138/2</f>
        <v>192</v>
      </c>
      <c r="O138" s="517">
        <f>($C138-$D138)*$AY$7+($D138*$AY$7*$AZ$7)</f>
        <v>576</v>
      </c>
      <c r="P138" s="517"/>
      <c r="Q138" s="518"/>
      <c r="R138" s="519"/>
      <c r="S138" s="517"/>
      <c r="T138" s="517"/>
      <c r="U138" s="518"/>
      <c r="V138" s="519"/>
      <c r="W138" s="517"/>
      <c r="X138" s="517"/>
      <c r="Y138" s="518"/>
      <c r="Z138" s="519"/>
      <c r="AA138" s="517"/>
      <c r="AB138" s="517"/>
      <c r="AC138" s="518"/>
      <c r="AD138" s="519"/>
      <c r="AE138" s="517"/>
      <c r="AF138" s="517"/>
      <c r="AG138" s="517"/>
      <c r="AH138" s="517"/>
      <c r="AI138" s="485">
        <f t="shared" si="103"/>
        <v>1118</v>
      </c>
      <c r="AJ138" s="485">
        <f t="shared" si="104"/>
        <v>350</v>
      </c>
      <c r="AK138" s="485">
        <f t="shared" si="104"/>
        <v>192</v>
      </c>
      <c r="AL138" s="485">
        <f t="shared" si="104"/>
        <v>576</v>
      </c>
      <c r="AM138" s="485"/>
      <c r="AN138" s="530">
        <f>'[4]Đao tao dự kien'!E59</f>
        <v>1</v>
      </c>
      <c r="AQ138" s="253"/>
      <c r="AR138" s="253"/>
      <c r="AS138" s="498"/>
      <c r="AT138" s="253"/>
      <c r="AU138" s="253"/>
      <c r="AV138" s="253"/>
      <c r="AW138" s="496"/>
      <c r="AX138" s="496"/>
      <c r="AY138" s="498"/>
      <c r="AZ138" s="498"/>
    </row>
    <row r="139" spans="1:55" s="498" customFormat="1" ht="13.95" customHeight="1" x14ac:dyDescent="0.3">
      <c r="A139" s="521"/>
      <c r="B139" s="515" t="s">
        <v>642</v>
      </c>
      <c r="C139" s="551">
        <f>'[2]7,9,25 Đào tạo TH'!G12</f>
        <v>12</v>
      </c>
      <c r="D139" s="555">
        <f>'[2]Đao tao dự kien'!P11</f>
        <v>2</v>
      </c>
      <c r="E139" s="532"/>
      <c r="F139" s="533"/>
      <c r="G139" s="532"/>
      <c r="H139" s="532"/>
      <c r="I139" s="518">
        <f>($C139*$AW$7)/2</f>
        <v>525</v>
      </c>
      <c r="J139" s="519">
        <f>(4.8*10*$C139)/2</f>
        <v>288</v>
      </c>
      <c r="K139" s="517"/>
      <c r="L139" s="517"/>
      <c r="M139" s="518">
        <f>($C139*$AW$7)</f>
        <v>1050</v>
      </c>
      <c r="N139" s="519">
        <f>(4.8*10*$C139)</f>
        <v>576</v>
      </c>
      <c r="O139" s="517"/>
      <c r="P139" s="517"/>
      <c r="Q139" s="518">
        <f>M139/2</f>
        <v>525</v>
      </c>
      <c r="R139" s="519">
        <f>N139/2</f>
        <v>288</v>
      </c>
      <c r="S139" s="517">
        <f>($C139-$D139)*$AY$7+($D139*$AY$7*$AZ$7)</f>
        <v>936</v>
      </c>
      <c r="T139" s="517"/>
      <c r="U139" s="518"/>
      <c r="V139" s="519"/>
      <c r="W139" s="517"/>
      <c r="X139" s="517"/>
      <c r="Y139" s="518"/>
      <c r="Z139" s="519"/>
      <c r="AA139" s="517"/>
      <c r="AB139" s="517"/>
      <c r="AC139" s="518"/>
      <c r="AD139" s="519"/>
      <c r="AE139" s="517"/>
      <c r="AF139" s="517"/>
      <c r="AG139" s="517"/>
      <c r="AH139" s="517"/>
      <c r="AI139" s="485">
        <f t="shared" si="103"/>
        <v>3375</v>
      </c>
      <c r="AJ139" s="485">
        <f t="shared" si="104"/>
        <v>1575</v>
      </c>
      <c r="AK139" s="485">
        <f t="shared" si="104"/>
        <v>864</v>
      </c>
      <c r="AL139" s="485">
        <f t="shared" si="104"/>
        <v>936</v>
      </c>
      <c r="AM139" s="485"/>
      <c r="AN139" s="498">
        <v>8</v>
      </c>
      <c r="AS139" s="251"/>
      <c r="AT139" s="251"/>
      <c r="AU139" s="251"/>
      <c r="AV139" s="251"/>
    </row>
    <row r="140" spans="1:55" s="498" customFormat="1" ht="13.95" customHeight="1" x14ac:dyDescent="0.3">
      <c r="A140" s="523"/>
      <c r="B140" s="515" t="s">
        <v>643</v>
      </c>
      <c r="C140" s="551">
        <f>'[2]7,9,25 Đào tạo TH'!H12</f>
        <v>45</v>
      </c>
      <c r="D140" s="555">
        <f>'[2]Đao tao dự kien'!Q11</f>
        <v>3</v>
      </c>
      <c r="E140" s="523"/>
      <c r="F140" s="534"/>
      <c r="G140" s="523"/>
      <c r="H140" s="523"/>
      <c r="I140" s="535"/>
      <c r="J140" s="536"/>
      <c r="K140" s="523"/>
      <c r="L140" s="523"/>
      <c r="M140" s="518">
        <f>($C140*$AW$7)/2</f>
        <v>1968.75</v>
      </c>
      <c r="N140" s="519">
        <f>(4.8*10*$C140)/2</f>
        <v>1080</v>
      </c>
      <c r="O140" s="517"/>
      <c r="P140" s="517"/>
      <c r="Q140" s="518">
        <f>($C140*$AW$7)</f>
        <v>3937.5</v>
      </c>
      <c r="R140" s="519">
        <f>(4.8*10*$C140)</f>
        <v>2160</v>
      </c>
      <c r="S140" s="517"/>
      <c r="T140" s="517"/>
      <c r="U140" s="518">
        <f>Q140/2</f>
        <v>1968.75</v>
      </c>
      <c r="V140" s="519">
        <f>R140/2</f>
        <v>1080</v>
      </c>
      <c r="W140" s="517">
        <f>($C140-$D140)*$AY$7+($D140*$AY$7*$AZ$7)</f>
        <v>3348</v>
      </c>
      <c r="X140" s="517"/>
      <c r="Y140" s="518"/>
      <c r="Z140" s="519"/>
      <c r="AA140" s="517"/>
      <c r="AB140" s="517"/>
      <c r="AC140" s="526"/>
      <c r="AD140" s="527"/>
      <c r="AE140" s="516"/>
      <c r="AF140" s="516"/>
      <c r="AG140" s="556">
        <f t="shared" ref="AG140:AH144" si="105">C140</f>
        <v>45</v>
      </c>
      <c r="AH140" s="556">
        <f t="shared" si="105"/>
        <v>3</v>
      </c>
      <c r="AI140" s="485">
        <f t="shared" si="103"/>
        <v>15543</v>
      </c>
      <c r="AJ140" s="485">
        <f t="shared" si="104"/>
        <v>7875</v>
      </c>
      <c r="AK140" s="485">
        <f t="shared" si="104"/>
        <v>4320</v>
      </c>
      <c r="AL140" s="485">
        <f t="shared" si="104"/>
        <v>3348</v>
      </c>
      <c r="AM140" s="485"/>
      <c r="AN140" s="498">
        <v>12</v>
      </c>
      <c r="AS140" s="253"/>
      <c r="AY140" s="251"/>
      <c r="AZ140" s="251"/>
      <c r="BA140" s="251"/>
      <c r="BB140" s="251"/>
      <c r="BC140" s="251"/>
    </row>
    <row r="141" spans="1:55" s="498" customFormat="1" ht="13.95" customHeight="1" x14ac:dyDescent="0.3">
      <c r="A141" s="521"/>
      <c r="B141" s="515" t="s">
        <v>644</v>
      </c>
      <c r="C141" s="551">
        <f>'[2]7,9,25 Đào tạo TH'!I12</f>
        <v>32</v>
      </c>
      <c r="D141" s="555">
        <f>'[2]Đao tao dự kien'!R11</f>
        <v>2</v>
      </c>
      <c r="E141" s="532"/>
      <c r="F141" s="533"/>
      <c r="G141" s="532"/>
      <c r="H141" s="532"/>
      <c r="I141" s="537"/>
      <c r="J141" s="538"/>
      <c r="K141" s="532"/>
      <c r="L141" s="532"/>
      <c r="M141" s="537"/>
      <c r="N141" s="538"/>
      <c r="O141" s="532"/>
      <c r="P141" s="532"/>
      <c r="Q141" s="518">
        <f>($C141*$AW$7)/2</f>
        <v>1400</v>
      </c>
      <c r="R141" s="519">
        <f>(4.8*10*$C141)/2</f>
        <v>768</v>
      </c>
      <c r="S141" s="517"/>
      <c r="T141" s="517"/>
      <c r="U141" s="518">
        <f>($C141*$AW$7)</f>
        <v>2800</v>
      </c>
      <c r="V141" s="519">
        <f>(4.8*10*$C141)</f>
        <v>1536</v>
      </c>
      <c r="W141" s="517"/>
      <c r="X141" s="517"/>
      <c r="Y141" s="518">
        <f>U141/2</f>
        <v>1400</v>
      </c>
      <c r="Z141" s="519">
        <f>V141/2</f>
        <v>768</v>
      </c>
      <c r="AA141" s="517">
        <f>($C141-$D141)*$AY$7+($D141*$AY$7*$AZ$7)</f>
        <v>2376</v>
      </c>
      <c r="AB141" s="517"/>
      <c r="AC141" s="518"/>
      <c r="AD141" s="519"/>
      <c r="AE141" s="517"/>
      <c r="AF141" s="517"/>
      <c r="AG141" s="556">
        <f t="shared" si="105"/>
        <v>32</v>
      </c>
      <c r="AH141" s="556">
        <f t="shared" si="105"/>
        <v>2</v>
      </c>
      <c r="AI141" s="485">
        <f t="shared" si="103"/>
        <v>11048</v>
      </c>
      <c r="AJ141" s="485">
        <f t="shared" si="104"/>
        <v>5600</v>
      </c>
      <c r="AK141" s="485">
        <f t="shared" si="104"/>
        <v>3072</v>
      </c>
      <c r="AL141" s="485">
        <f t="shared" si="104"/>
        <v>2376</v>
      </c>
      <c r="AM141" s="485"/>
      <c r="AN141" s="498">
        <v>45</v>
      </c>
      <c r="AQ141" s="251"/>
      <c r="AR141" s="251"/>
      <c r="AS141" s="529"/>
      <c r="AT141" s="251"/>
      <c r="AU141" s="251"/>
      <c r="AV141" s="251"/>
      <c r="AW141" s="251"/>
      <c r="AX141" s="251"/>
      <c r="BA141" s="496"/>
      <c r="BB141" s="496"/>
    </row>
    <row r="142" spans="1:55" ht="13.95" customHeight="1" x14ac:dyDescent="0.3">
      <c r="A142" s="523"/>
      <c r="B142" s="515" t="s">
        <v>645</v>
      </c>
      <c r="C142" s="551">
        <f>'[2]7,9,25 Đào tạo TH'!J12</f>
        <v>32</v>
      </c>
      <c r="D142" s="555">
        <f>'[2]Đao tao dự kien'!S11</f>
        <v>3</v>
      </c>
      <c r="E142" s="523"/>
      <c r="F142" s="534"/>
      <c r="G142" s="523"/>
      <c r="H142" s="523"/>
      <c r="I142" s="535"/>
      <c r="J142" s="536"/>
      <c r="K142" s="523"/>
      <c r="L142" s="523"/>
      <c r="M142" s="535"/>
      <c r="N142" s="536"/>
      <c r="O142" s="523"/>
      <c r="P142" s="523"/>
      <c r="Q142" s="535"/>
      <c r="R142" s="536"/>
      <c r="S142" s="523"/>
      <c r="T142" s="523"/>
      <c r="U142" s="518">
        <f>($C142*$AW$7)/2</f>
        <v>1400</v>
      </c>
      <c r="V142" s="519">
        <f>(4.8*10*$C142)/2</f>
        <v>768</v>
      </c>
      <c r="W142" s="517"/>
      <c r="X142" s="517"/>
      <c r="Y142" s="518">
        <f>($C142*$AW$7)</f>
        <v>2800</v>
      </c>
      <c r="Z142" s="519">
        <f>(4.8*10*$C142)</f>
        <v>1536</v>
      </c>
      <c r="AA142" s="517"/>
      <c r="AB142" s="517"/>
      <c r="AC142" s="518">
        <f>Y142/2</f>
        <v>1400</v>
      </c>
      <c r="AD142" s="519">
        <f>Z142/2</f>
        <v>768</v>
      </c>
      <c r="AE142" s="517">
        <f>($C142-$D142)*$AY$7+($D142*$AY$7*$AZ$7)</f>
        <v>2412</v>
      </c>
      <c r="AF142" s="517"/>
      <c r="AG142" s="556">
        <f t="shared" si="105"/>
        <v>32</v>
      </c>
      <c r="AH142" s="556">
        <f t="shared" si="105"/>
        <v>3</v>
      </c>
      <c r="AI142" s="485">
        <f t="shared" si="103"/>
        <v>11084</v>
      </c>
      <c r="AJ142" s="485">
        <f t="shared" si="104"/>
        <v>5600</v>
      </c>
      <c r="AK142" s="485">
        <f t="shared" si="104"/>
        <v>3072</v>
      </c>
      <c r="AL142" s="485">
        <f t="shared" si="104"/>
        <v>2412</v>
      </c>
      <c r="AM142" s="485"/>
      <c r="AN142" s="498">
        <v>32</v>
      </c>
      <c r="AQ142" s="498"/>
      <c r="AR142" s="498"/>
      <c r="AS142" s="253"/>
      <c r="AT142" s="498"/>
      <c r="AU142" s="498"/>
      <c r="AV142" s="498"/>
      <c r="AW142" s="498"/>
      <c r="AX142" s="498"/>
      <c r="BA142" s="498"/>
      <c r="BB142" s="498"/>
    </row>
    <row r="143" spans="1:55" s="498" customFormat="1" ht="13.95" customHeight="1" x14ac:dyDescent="0.3">
      <c r="A143" s="521"/>
      <c r="B143" s="515" t="s">
        <v>646</v>
      </c>
      <c r="C143" s="551">
        <f>'[2]7,9,25 Đào tạo TH'!K12</f>
        <v>24</v>
      </c>
      <c r="D143" s="555">
        <f>'[2]Đao tao dự kien'!T11</f>
        <v>4</v>
      </c>
      <c r="E143" s="532"/>
      <c r="F143" s="533"/>
      <c r="G143" s="532"/>
      <c r="H143" s="532"/>
      <c r="I143" s="537"/>
      <c r="J143" s="538"/>
      <c r="K143" s="532"/>
      <c r="L143" s="532"/>
      <c r="M143" s="537"/>
      <c r="N143" s="538"/>
      <c r="O143" s="532"/>
      <c r="P143" s="532"/>
      <c r="Q143" s="537"/>
      <c r="R143" s="538"/>
      <c r="S143" s="532"/>
      <c r="T143" s="532"/>
      <c r="U143" s="537"/>
      <c r="V143" s="538"/>
      <c r="W143" s="532"/>
      <c r="X143" s="532"/>
      <c r="Y143" s="518">
        <f>($C143*$AW$7)/2</f>
        <v>1050</v>
      </c>
      <c r="Z143" s="519">
        <f>(4.8*10*$C143)/2</f>
        <v>576</v>
      </c>
      <c r="AA143" s="517"/>
      <c r="AB143" s="517"/>
      <c r="AC143" s="518">
        <f>($C143*$AW$7)</f>
        <v>2100</v>
      </c>
      <c r="AD143" s="519">
        <f>(4.8*10*$C143)</f>
        <v>1152</v>
      </c>
      <c r="AE143" s="528"/>
      <c r="AF143" s="517"/>
      <c r="AG143" s="556">
        <f t="shared" si="105"/>
        <v>24</v>
      </c>
      <c r="AH143" s="556">
        <f t="shared" si="105"/>
        <v>4</v>
      </c>
      <c r="AI143" s="485">
        <f t="shared" si="103"/>
        <v>4878</v>
      </c>
      <c r="AJ143" s="485">
        <f t="shared" si="104"/>
        <v>3150</v>
      </c>
      <c r="AK143" s="485">
        <f t="shared" si="104"/>
        <v>1728</v>
      </c>
      <c r="AL143" s="485">
        <f t="shared" si="104"/>
        <v>0</v>
      </c>
      <c r="AM143" s="485"/>
      <c r="AN143" s="498">
        <v>32</v>
      </c>
      <c r="AQ143" s="251"/>
      <c r="AR143" s="251"/>
      <c r="AS143" s="251"/>
      <c r="AT143" s="251"/>
      <c r="AU143" s="251"/>
      <c r="AV143" s="251"/>
      <c r="AW143" s="251"/>
      <c r="AX143" s="251"/>
      <c r="BC143" s="496"/>
    </row>
    <row r="144" spans="1:55" ht="13.95" customHeight="1" x14ac:dyDescent="0.3">
      <c r="A144" s="523"/>
      <c r="B144" s="515" t="s">
        <v>647</v>
      </c>
      <c r="C144" s="551">
        <f>'[2]7,9,25 Đào tạo TH'!L12</f>
        <v>21</v>
      </c>
      <c r="D144" s="555">
        <f>'[2]Đao tao dự kien'!U11</f>
        <v>2</v>
      </c>
      <c r="E144" s="523"/>
      <c r="F144" s="534"/>
      <c r="G144" s="523"/>
      <c r="H144" s="523"/>
      <c r="I144" s="535"/>
      <c r="J144" s="536"/>
      <c r="K144" s="523"/>
      <c r="L144" s="523"/>
      <c r="M144" s="535"/>
      <c r="N144" s="536"/>
      <c r="O144" s="523"/>
      <c r="P144" s="523"/>
      <c r="Q144" s="535"/>
      <c r="R144" s="536"/>
      <c r="S144" s="523"/>
      <c r="T144" s="523"/>
      <c r="U144" s="535"/>
      <c r="V144" s="536"/>
      <c r="W144" s="523"/>
      <c r="X144" s="523"/>
      <c r="Y144" s="535"/>
      <c r="Z144" s="536"/>
      <c r="AA144" s="516"/>
      <c r="AB144" s="516"/>
      <c r="AC144" s="518">
        <f>($C144*$AW$7)/2</f>
        <v>918.75</v>
      </c>
      <c r="AD144" s="519">
        <f>(4.8*10*$C144)/2</f>
        <v>504</v>
      </c>
      <c r="AE144" s="528"/>
      <c r="AF144" s="517"/>
      <c r="AG144" s="556">
        <f t="shared" si="105"/>
        <v>21</v>
      </c>
      <c r="AH144" s="556">
        <f t="shared" si="105"/>
        <v>2</v>
      </c>
      <c r="AI144" s="485">
        <f t="shared" si="103"/>
        <v>1422.75</v>
      </c>
      <c r="AJ144" s="485">
        <f t="shared" si="104"/>
        <v>918.75</v>
      </c>
      <c r="AK144" s="485">
        <f t="shared" si="104"/>
        <v>504</v>
      </c>
      <c r="AL144" s="485">
        <f t="shared" si="104"/>
        <v>0</v>
      </c>
      <c r="AM144" s="485"/>
      <c r="AN144" s="498">
        <v>24</v>
      </c>
      <c r="AQ144" s="498"/>
      <c r="AR144" s="498"/>
      <c r="AS144" s="498"/>
      <c r="AT144" s="253"/>
      <c r="AU144" s="253"/>
      <c r="AV144" s="253"/>
      <c r="AW144" s="498"/>
      <c r="AX144" s="498"/>
      <c r="BC144" s="498"/>
    </row>
    <row r="145" spans="1:55" s="498" customFormat="1" ht="13.95" customHeight="1" x14ac:dyDescent="0.3">
      <c r="A145" s="501">
        <v>3</v>
      </c>
      <c r="B145" s="502" t="s">
        <v>31</v>
      </c>
      <c r="C145" s="562">
        <f>SUM(C146:C153)</f>
        <v>26</v>
      </c>
      <c r="D145" s="562">
        <f t="shared" ref="D145:AL145" si="106">SUM(D146:D153)</f>
        <v>0</v>
      </c>
      <c r="E145" s="562">
        <f t="shared" si="106"/>
        <v>476</v>
      </c>
      <c r="F145" s="562">
        <f t="shared" si="106"/>
        <v>336</v>
      </c>
      <c r="G145" s="562">
        <f t="shared" si="106"/>
        <v>0</v>
      </c>
      <c r="H145" s="562"/>
      <c r="I145" s="562">
        <f t="shared" si="106"/>
        <v>748</v>
      </c>
      <c r="J145" s="562">
        <f t="shared" si="106"/>
        <v>528</v>
      </c>
      <c r="K145" s="562">
        <f t="shared" si="106"/>
        <v>0</v>
      </c>
      <c r="L145" s="562"/>
      <c r="M145" s="562">
        <f t="shared" si="106"/>
        <v>782</v>
      </c>
      <c r="N145" s="562">
        <f t="shared" si="106"/>
        <v>552</v>
      </c>
      <c r="O145" s="562">
        <f t="shared" si="106"/>
        <v>315</v>
      </c>
      <c r="P145" s="562"/>
      <c r="Q145" s="562">
        <f t="shared" si="106"/>
        <v>646</v>
      </c>
      <c r="R145" s="562">
        <f t="shared" si="106"/>
        <v>456</v>
      </c>
      <c r="S145" s="562">
        <f t="shared" si="106"/>
        <v>252</v>
      </c>
      <c r="T145" s="562"/>
      <c r="U145" s="562">
        <f t="shared" si="106"/>
        <v>544</v>
      </c>
      <c r="V145" s="562">
        <f t="shared" si="106"/>
        <v>384</v>
      </c>
      <c r="W145" s="562">
        <f t="shared" si="106"/>
        <v>252</v>
      </c>
      <c r="X145" s="562"/>
      <c r="Y145" s="562">
        <f t="shared" si="106"/>
        <v>510</v>
      </c>
      <c r="Z145" s="562">
        <f t="shared" si="106"/>
        <v>360</v>
      </c>
      <c r="AA145" s="562">
        <f t="shared" si="106"/>
        <v>126</v>
      </c>
      <c r="AB145" s="562"/>
      <c r="AC145" s="562">
        <f t="shared" si="106"/>
        <v>544</v>
      </c>
      <c r="AD145" s="562">
        <f t="shared" si="106"/>
        <v>384</v>
      </c>
      <c r="AE145" s="562">
        <f t="shared" si="106"/>
        <v>189</v>
      </c>
      <c r="AF145" s="562"/>
      <c r="AG145" s="562">
        <f t="shared" si="106"/>
        <v>13</v>
      </c>
      <c r="AH145" s="562">
        <f t="shared" si="106"/>
        <v>0</v>
      </c>
      <c r="AI145" s="562">
        <f t="shared" si="106"/>
        <v>6296</v>
      </c>
      <c r="AJ145" s="562">
        <f t="shared" si="106"/>
        <v>3026</v>
      </c>
      <c r="AK145" s="562">
        <f t="shared" si="106"/>
        <v>2136</v>
      </c>
      <c r="AL145" s="562">
        <f t="shared" si="106"/>
        <v>1134</v>
      </c>
      <c r="AM145" s="504"/>
      <c r="AN145" s="498">
        <v>21</v>
      </c>
      <c r="AQ145" s="251"/>
      <c r="AR145" s="251"/>
      <c r="AS145" s="251"/>
      <c r="AT145" s="539"/>
      <c r="AU145" s="539"/>
      <c r="AV145" s="539"/>
      <c r="AW145" s="539"/>
      <c r="AX145" s="539"/>
      <c r="AY145" s="539">
        <v>36</v>
      </c>
      <c r="AZ145" s="539">
        <v>36</v>
      </c>
    </row>
    <row r="146" spans="1:55" s="561" customFormat="1" ht="13.95" customHeight="1" x14ac:dyDescent="0.3">
      <c r="A146" s="257"/>
      <c r="B146" s="505" t="s">
        <v>639</v>
      </c>
      <c r="C146" s="551">
        <f>'[2]7,9,25 Đào tạo TH'!E15</f>
        <v>5</v>
      </c>
      <c r="D146" s="544">
        <v>0</v>
      </c>
      <c r="E146" s="485">
        <f>($C146*$AW$8)</f>
        <v>340</v>
      </c>
      <c r="F146" s="486">
        <f>(4.8*10*$C146)</f>
        <v>240</v>
      </c>
      <c r="G146" s="517"/>
      <c r="H146" s="517"/>
      <c r="I146" s="518">
        <f>E146</f>
        <v>340</v>
      </c>
      <c r="J146" s="519">
        <f>F146</f>
        <v>240</v>
      </c>
      <c r="K146" s="517"/>
      <c r="L146" s="517"/>
      <c r="M146" s="485">
        <f>($C146*$AW$8)/2</f>
        <v>170</v>
      </c>
      <c r="N146" s="486">
        <f>(4.8*10*$C146)/2</f>
        <v>120</v>
      </c>
      <c r="O146" s="517">
        <f>($C146-$D146)*$AY$8+($D146*$AY$8*$AZ$8)</f>
        <v>315</v>
      </c>
      <c r="P146" s="517"/>
      <c r="Q146" s="518"/>
      <c r="R146" s="519"/>
      <c r="S146" s="517"/>
      <c r="T146" s="517"/>
      <c r="U146" s="518"/>
      <c r="V146" s="519"/>
      <c r="W146" s="517"/>
      <c r="X146" s="517"/>
      <c r="Y146" s="518"/>
      <c r="Z146" s="519"/>
      <c r="AA146" s="517"/>
      <c r="AB146" s="517"/>
      <c r="AC146" s="518"/>
      <c r="AD146" s="519"/>
      <c r="AE146" s="517"/>
      <c r="AF146" s="517"/>
      <c r="AG146" s="508"/>
      <c r="AH146" s="508"/>
      <c r="AI146" s="508">
        <f t="shared" ref="AI146:AI153" si="107">AJ146+AL146+AK146</f>
        <v>605</v>
      </c>
      <c r="AJ146" s="508">
        <f t="shared" ref="AJ146:AL153" si="108">M146+Q146+U146+Y146+AC146</f>
        <v>170</v>
      </c>
      <c r="AK146" s="508">
        <f t="shared" si="108"/>
        <v>120</v>
      </c>
      <c r="AL146" s="508">
        <f t="shared" si="108"/>
        <v>315</v>
      </c>
      <c r="AM146" s="508"/>
      <c r="AS146" s="514"/>
      <c r="AT146" s="514"/>
      <c r="AU146" s="514"/>
      <c r="AV146" s="514"/>
      <c r="AW146" s="514"/>
      <c r="AX146" s="514"/>
      <c r="AY146" s="514"/>
      <c r="AZ146" s="514"/>
      <c r="BA146" s="513"/>
      <c r="BB146" s="513"/>
      <c r="BC146" s="513"/>
    </row>
    <row r="147" spans="1:55" ht="13.95" customHeight="1" x14ac:dyDescent="0.3">
      <c r="A147" s="521"/>
      <c r="B147" s="515" t="s">
        <v>641</v>
      </c>
      <c r="C147" s="551">
        <f>'[2]7,9,25 Đào tạo TH'!F15</f>
        <v>4</v>
      </c>
      <c r="D147" s="555">
        <v>0</v>
      </c>
      <c r="E147" s="485">
        <f>($C147*$AW$8)/2</f>
        <v>136</v>
      </c>
      <c r="F147" s="486">
        <f>(4.8*10*$C147)/2</f>
        <v>96</v>
      </c>
      <c r="G147" s="517"/>
      <c r="H147" s="517"/>
      <c r="I147" s="518">
        <f>E147*2</f>
        <v>272</v>
      </c>
      <c r="J147" s="519">
        <f>F147*2</f>
        <v>192</v>
      </c>
      <c r="K147" s="517"/>
      <c r="L147" s="517"/>
      <c r="M147" s="518">
        <f>I147</f>
        <v>272</v>
      </c>
      <c r="N147" s="519">
        <f>J147</f>
        <v>192</v>
      </c>
      <c r="O147" s="517"/>
      <c r="P147" s="517"/>
      <c r="Q147" s="485">
        <f>($C147*$AW$8)/2</f>
        <v>136</v>
      </c>
      <c r="R147" s="486">
        <f>(4.8*10*$C147)/2</f>
        <v>96</v>
      </c>
      <c r="S147" s="517">
        <f>($C147-$D147)*$AY$8+($D147*$AY$8*$AZ$8)</f>
        <v>252</v>
      </c>
      <c r="T147" s="517"/>
      <c r="U147" s="518"/>
      <c r="V147" s="519"/>
      <c r="W147" s="517"/>
      <c r="X147" s="517"/>
      <c r="Y147" s="518"/>
      <c r="Z147" s="519"/>
      <c r="AA147" s="517"/>
      <c r="AB147" s="517"/>
      <c r="AC147" s="518"/>
      <c r="AD147" s="519"/>
      <c r="AE147" s="517"/>
      <c r="AF147" s="517"/>
      <c r="AG147" s="517"/>
      <c r="AH147" s="517"/>
      <c r="AI147" s="485">
        <f t="shared" si="107"/>
        <v>948</v>
      </c>
      <c r="AJ147" s="485">
        <f t="shared" si="108"/>
        <v>408</v>
      </c>
      <c r="AK147" s="485">
        <f t="shared" si="108"/>
        <v>288</v>
      </c>
      <c r="AL147" s="485">
        <f t="shared" si="108"/>
        <v>252</v>
      </c>
      <c r="AM147" s="485"/>
      <c r="AN147" s="496"/>
      <c r="AQ147" s="253"/>
      <c r="AR147" s="253"/>
      <c r="AS147" s="498"/>
      <c r="AT147" s="539"/>
      <c r="AU147" s="539"/>
      <c r="AV147" s="539"/>
      <c r="AW147" s="539"/>
      <c r="AX147" s="539"/>
      <c r="AY147" s="539">
        <v>2</v>
      </c>
      <c r="AZ147" s="539">
        <v>2</v>
      </c>
    </row>
    <row r="148" spans="1:55" s="496" customFormat="1" ht="13.95" customHeight="1" x14ac:dyDescent="0.3">
      <c r="A148" s="521"/>
      <c r="B148" s="515" t="s">
        <v>642</v>
      </c>
      <c r="C148" s="551">
        <f>'[2]7,9,25 Đào tạo TH'!G15</f>
        <v>4</v>
      </c>
      <c r="D148" s="555">
        <v>0</v>
      </c>
      <c r="E148" s="532"/>
      <c r="F148" s="533"/>
      <c r="G148" s="532"/>
      <c r="H148" s="532"/>
      <c r="I148" s="485">
        <f>($C148*$AW$8)/2</f>
        <v>136</v>
      </c>
      <c r="J148" s="486">
        <f>(4.8*10*$C148)/2</f>
        <v>96</v>
      </c>
      <c r="K148" s="517"/>
      <c r="L148" s="517"/>
      <c r="M148" s="518">
        <f>I148*2</f>
        <v>272</v>
      </c>
      <c r="N148" s="519">
        <f>J148*2</f>
        <v>192</v>
      </c>
      <c r="O148" s="517"/>
      <c r="P148" s="517"/>
      <c r="Q148" s="518">
        <f>M148</f>
        <v>272</v>
      </c>
      <c r="R148" s="519">
        <f>N148</f>
        <v>192</v>
      </c>
      <c r="S148" s="517"/>
      <c r="T148" s="517"/>
      <c r="U148" s="485">
        <f>($C148*$AW$8)/2</f>
        <v>136</v>
      </c>
      <c r="V148" s="486">
        <f>(4.8*10*$C148)/2</f>
        <v>96</v>
      </c>
      <c r="W148" s="517">
        <f>($C148-$D148)*$AY$8+($D148*$AY$8*$AZ$8)</f>
        <v>252</v>
      </c>
      <c r="X148" s="517"/>
      <c r="Y148" s="518"/>
      <c r="Z148" s="519"/>
      <c r="AA148" s="517"/>
      <c r="AB148" s="517"/>
      <c r="AC148" s="518"/>
      <c r="AD148" s="519"/>
      <c r="AE148" s="517"/>
      <c r="AF148" s="517"/>
      <c r="AG148" s="517"/>
      <c r="AH148" s="517"/>
      <c r="AI148" s="485">
        <f t="shared" si="107"/>
        <v>1412</v>
      </c>
      <c r="AJ148" s="485">
        <f t="shared" si="108"/>
        <v>680</v>
      </c>
      <c r="AK148" s="485">
        <f t="shared" si="108"/>
        <v>480</v>
      </c>
      <c r="AL148" s="485">
        <f t="shared" si="108"/>
        <v>252</v>
      </c>
      <c r="AM148" s="485"/>
      <c r="AN148" s="498"/>
      <c r="AQ148" s="529"/>
      <c r="AR148" s="529"/>
      <c r="AS148" s="251"/>
      <c r="AT148" s="539"/>
      <c r="AU148" s="539"/>
      <c r="AV148" s="539"/>
      <c r="AW148" s="539"/>
      <c r="AX148" s="539"/>
      <c r="AY148" s="539">
        <v>6</v>
      </c>
      <c r="AZ148" s="539">
        <v>6</v>
      </c>
      <c r="BA148" s="498"/>
      <c r="BB148" s="498"/>
      <c r="BC148" s="498"/>
    </row>
    <row r="149" spans="1:55" s="498" customFormat="1" ht="13.95" customHeight="1" x14ac:dyDescent="0.3">
      <c r="A149" s="523"/>
      <c r="B149" s="515" t="s">
        <v>643</v>
      </c>
      <c r="C149" s="551">
        <f>'[2]7,9,25 Đào tạo TH'!H15</f>
        <v>2</v>
      </c>
      <c r="D149" s="555">
        <v>0</v>
      </c>
      <c r="E149" s="523"/>
      <c r="F149" s="534"/>
      <c r="G149" s="523"/>
      <c r="H149" s="523"/>
      <c r="I149" s="535"/>
      <c r="J149" s="536"/>
      <c r="K149" s="523"/>
      <c r="L149" s="523"/>
      <c r="M149" s="485">
        <f>($C149*$AW$8)/2</f>
        <v>68</v>
      </c>
      <c r="N149" s="486">
        <f>(4.8*10*$C149)/2</f>
        <v>48</v>
      </c>
      <c r="O149" s="517"/>
      <c r="P149" s="517"/>
      <c r="Q149" s="518">
        <f>M149*2</f>
        <v>136</v>
      </c>
      <c r="R149" s="519">
        <f>N149*2</f>
        <v>96</v>
      </c>
      <c r="S149" s="517"/>
      <c r="T149" s="517"/>
      <c r="U149" s="518">
        <f>Q149</f>
        <v>136</v>
      </c>
      <c r="V149" s="519">
        <f>R149</f>
        <v>96</v>
      </c>
      <c r="W149" s="517"/>
      <c r="X149" s="517"/>
      <c r="Y149" s="485">
        <f>($C149*$AW$8)/2</f>
        <v>68</v>
      </c>
      <c r="Z149" s="486">
        <f>(4.8*10*$C149)/2</f>
        <v>48</v>
      </c>
      <c r="AA149" s="517">
        <f>($C149-$D149)*$AY$8+($D149*$AY$8*$AZ$8)</f>
        <v>126</v>
      </c>
      <c r="AB149" s="517"/>
      <c r="AC149" s="526"/>
      <c r="AD149" s="527"/>
      <c r="AE149" s="516"/>
      <c r="AF149" s="516"/>
      <c r="AG149" s="556">
        <f t="shared" ref="AG149:AH153" si="109">C149</f>
        <v>2</v>
      </c>
      <c r="AH149" s="556">
        <f t="shared" si="109"/>
        <v>0</v>
      </c>
      <c r="AI149" s="485">
        <f t="shared" si="107"/>
        <v>822</v>
      </c>
      <c r="AJ149" s="485">
        <f t="shared" si="108"/>
        <v>408</v>
      </c>
      <c r="AK149" s="485">
        <f t="shared" si="108"/>
        <v>288</v>
      </c>
      <c r="AL149" s="485">
        <f t="shared" si="108"/>
        <v>126</v>
      </c>
      <c r="AM149" s="485"/>
      <c r="AN149" s="498">
        <v>12</v>
      </c>
      <c r="AQ149" s="253"/>
      <c r="AR149" s="253"/>
      <c r="AS149" s="253"/>
      <c r="AT149" s="539"/>
      <c r="AU149" s="539"/>
      <c r="AV149" s="539"/>
      <c r="AW149" s="539"/>
      <c r="AX149" s="539"/>
      <c r="AY149" s="539">
        <v>10</v>
      </c>
      <c r="AZ149" s="539">
        <v>10</v>
      </c>
      <c r="BA149" s="251"/>
      <c r="BB149" s="251"/>
      <c r="BC149" s="251"/>
    </row>
    <row r="150" spans="1:55" s="498" customFormat="1" ht="13.95" customHeight="1" x14ac:dyDescent="0.3">
      <c r="A150" s="521"/>
      <c r="B150" s="515" t="s">
        <v>644</v>
      </c>
      <c r="C150" s="551">
        <f>'[2]7,9,25 Đào tạo TH'!I15</f>
        <v>3</v>
      </c>
      <c r="D150" s="555">
        <v>0</v>
      </c>
      <c r="E150" s="532"/>
      <c r="F150" s="533"/>
      <c r="G150" s="532"/>
      <c r="H150" s="532"/>
      <c r="I150" s="537"/>
      <c r="J150" s="538"/>
      <c r="K150" s="532"/>
      <c r="L150" s="532"/>
      <c r="M150" s="537"/>
      <c r="N150" s="538"/>
      <c r="O150" s="532"/>
      <c r="P150" s="532"/>
      <c r="Q150" s="485">
        <f>($C150*$AW$8)/2</f>
        <v>102</v>
      </c>
      <c r="R150" s="486">
        <f>(4.8*10*$C150)/2</f>
        <v>72</v>
      </c>
      <c r="S150" s="517"/>
      <c r="T150" s="517"/>
      <c r="U150" s="518">
        <f>Q150*2</f>
        <v>204</v>
      </c>
      <c r="V150" s="519">
        <f>R150*2</f>
        <v>144</v>
      </c>
      <c r="W150" s="517"/>
      <c r="X150" s="517"/>
      <c r="Y150" s="518">
        <f>U150</f>
        <v>204</v>
      </c>
      <c r="Z150" s="519">
        <f>V150</f>
        <v>144</v>
      </c>
      <c r="AA150" s="517"/>
      <c r="AB150" s="517"/>
      <c r="AC150" s="485">
        <f>($C150*$AW$8)/2</f>
        <v>102</v>
      </c>
      <c r="AD150" s="486">
        <f>(4.8*10*$C150)/2</f>
        <v>72</v>
      </c>
      <c r="AE150" s="517">
        <f>($C150-$D150)*$AY$8+($D150*$AY$8*$AZ$8)</f>
        <v>189</v>
      </c>
      <c r="AF150" s="517"/>
      <c r="AG150" s="556">
        <f t="shared" si="109"/>
        <v>3</v>
      </c>
      <c r="AH150" s="556">
        <f t="shared" si="109"/>
        <v>0</v>
      </c>
      <c r="AI150" s="485">
        <f t="shared" si="107"/>
        <v>1233</v>
      </c>
      <c r="AJ150" s="485">
        <f t="shared" si="108"/>
        <v>612</v>
      </c>
      <c r="AK150" s="485">
        <f t="shared" si="108"/>
        <v>432</v>
      </c>
      <c r="AL150" s="485">
        <f t="shared" si="108"/>
        <v>189</v>
      </c>
      <c r="AM150" s="485"/>
      <c r="AN150" s="498">
        <v>45</v>
      </c>
      <c r="AQ150" s="251"/>
      <c r="AR150" s="251"/>
      <c r="AS150" s="539"/>
      <c r="AT150" s="539"/>
      <c r="AU150" s="539"/>
      <c r="AV150" s="539"/>
      <c r="AW150" s="539"/>
      <c r="AX150" s="539"/>
      <c r="AY150" s="539">
        <v>8</v>
      </c>
      <c r="AZ150" s="539">
        <v>8</v>
      </c>
    </row>
    <row r="151" spans="1:55" ht="13.95" customHeight="1" x14ac:dyDescent="0.3">
      <c r="A151" s="523"/>
      <c r="B151" s="515" t="s">
        <v>645</v>
      </c>
      <c r="C151" s="551">
        <f>'[2]7,9,25 Đào tạo TH'!J15</f>
        <v>2</v>
      </c>
      <c r="D151" s="555">
        <v>0</v>
      </c>
      <c r="E151" s="523"/>
      <c r="F151" s="534"/>
      <c r="G151" s="523"/>
      <c r="H151" s="523"/>
      <c r="I151" s="535"/>
      <c r="J151" s="536"/>
      <c r="K151" s="523"/>
      <c r="L151" s="523"/>
      <c r="M151" s="535"/>
      <c r="N151" s="536"/>
      <c r="O151" s="523"/>
      <c r="P151" s="523"/>
      <c r="Q151" s="535"/>
      <c r="R151" s="536"/>
      <c r="S151" s="523"/>
      <c r="T151" s="523"/>
      <c r="U151" s="485">
        <f>($C151*$AW$8)/2</f>
        <v>68</v>
      </c>
      <c r="V151" s="486">
        <f>(4.8*10*$C151)/2</f>
        <v>48</v>
      </c>
      <c r="W151" s="516"/>
      <c r="X151" s="516"/>
      <c r="Y151" s="518">
        <f>U151*2</f>
        <v>136</v>
      </c>
      <c r="Z151" s="519">
        <f>V151*2</f>
        <v>96</v>
      </c>
      <c r="AA151" s="517"/>
      <c r="AB151" s="517"/>
      <c r="AC151" s="518">
        <f>Y151</f>
        <v>136</v>
      </c>
      <c r="AD151" s="519">
        <f>Z151</f>
        <v>96</v>
      </c>
      <c r="AE151" s="528"/>
      <c r="AF151" s="517"/>
      <c r="AG151" s="556">
        <f t="shared" si="109"/>
        <v>2</v>
      </c>
      <c r="AH151" s="556">
        <f t="shared" si="109"/>
        <v>0</v>
      </c>
      <c r="AI151" s="485">
        <f t="shared" si="107"/>
        <v>580</v>
      </c>
      <c r="AJ151" s="485">
        <f t="shared" si="108"/>
        <v>340</v>
      </c>
      <c r="AK151" s="485">
        <f t="shared" si="108"/>
        <v>240</v>
      </c>
      <c r="AL151" s="485">
        <f t="shared" si="108"/>
        <v>0</v>
      </c>
      <c r="AM151" s="485"/>
      <c r="AN151" s="498">
        <v>32</v>
      </c>
      <c r="AQ151" s="498"/>
      <c r="AR151" s="498"/>
      <c r="AS151" s="539"/>
      <c r="AT151" s="539"/>
      <c r="AU151" s="539"/>
      <c r="AV151" s="539"/>
      <c r="AW151" s="539"/>
      <c r="AX151" s="539"/>
      <c r="AY151" s="539">
        <v>7</v>
      </c>
      <c r="AZ151" s="539">
        <v>7</v>
      </c>
      <c r="BA151" s="498"/>
      <c r="BB151" s="498"/>
    </row>
    <row r="152" spans="1:55" s="498" customFormat="1" ht="13.95" customHeight="1" x14ac:dyDescent="0.3">
      <c r="A152" s="521"/>
      <c r="B152" s="515" t="s">
        <v>646</v>
      </c>
      <c r="C152" s="551">
        <f>'[2]7,9,25 Đào tạo TH'!K15</f>
        <v>3</v>
      </c>
      <c r="D152" s="555">
        <v>0</v>
      </c>
      <c r="E152" s="532"/>
      <c r="F152" s="533"/>
      <c r="G152" s="532"/>
      <c r="H152" s="532"/>
      <c r="I152" s="537"/>
      <c r="J152" s="538"/>
      <c r="K152" s="532"/>
      <c r="L152" s="532"/>
      <c r="M152" s="537"/>
      <c r="N152" s="538"/>
      <c r="O152" s="532"/>
      <c r="P152" s="532"/>
      <c r="Q152" s="537"/>
      <c r="R152" s="538"/>
      <c r="S152" s="532"/>
      <c r="T152" s="532"/>
      <c r="U152" s="537"/>
      <c r="V152" s="538"/>
      <c r="W152" s="532"/>
      <c r="X152" s="532"/>
      <c r="Y152" s="485">
        <f>($C152*$AW$8)/2</f>
        <v>102</v>
      </c>
      <c r="Z152" s="486">
        <f>(4.8*10*$C152)/2</f>
        <v>72</v>
      </c>
      <c r="AA152" s="516"/>
      <c r="AB152" s="516"/>
      <c r="AC152" s="518">
        <f>Y152*2</f>
        <v>204</v>
      </c>
      <c r="AD152" s="519">
        <f>Z152*2</f>
        <v>144</v>
      </c>
      <c r="AE152" s="528"/>
      <c r="AF152" s="517"/>
      <c r="AG152" s="556">
        <f t="shared" si="109"/>
        <v>3</v>
      </c>
      <c r="AH152" s="556">
        <f t="shared" si="109"/>
        <v>0</v>
      </c>
      <c r="AI152" s="485">
        <f t="shared" si="107"/>
        <v>522</v>
      </c>
      <c r="AJ152" s="485">
        <f t="shared" si="108"/>
        <v>306</v>
      </c>
      <c r="AK152" s="485">
        <f t="shared" si="108"/>
        <v>216</v>
      </c>
      <c r="AL152" s="485">
        <f t="shared" si="108"/>
        <v>0</v>
      </c>
      <c r="AM152" s="485"/>
      <c r="AN152" s="498">
        <v>32</v>
      </c>
      <c r="AQ152" s="251"/>
      <c r="AR152" s="251"/>
      <c r="AS152" s="539"/>
      <c r="AT152" s="539"/>
      <c r="AU152" s="539"/>
      <c r="AV152" s="539"/>
      <c r="AW152" s="539"/>
      <c r="AX152" s="539"/>
      <c r="AY152" s="539">
        <v>7</v>
      </c>
      <c r="AZ152" s="539">
        <v>7</v>
      </c>
    </row>
    <row r="153" spans="1:55" ht="13.95" customHeight="1" x14ac:dyDescent="0.3">
      <c r="A153" s="523"/>
      <c r="B153" s="515" t="s">
        <v>647</v>
      </c>
      <c r="C153" s="551">
        <f>'[2]7,9,25 Đào tạo TH'!L15</f>
        <v>3</v>
      </c>
      <c r="D153" s="555">
        <v>0</v>
      </c>
      <c r="E153" s="523"/>
      <c r="F153" s="534"/>
      <c r="G153" s="523"/>
      <c r="H153" s="523"/>
      <c r="I153" s="535"/>
      <c r="J153" s="536"/>
      <c r="K153" s="523"/>
      <c r="L153" s="523"/>
      <c r="M153" s="535"/>
      <c r="N153" s="536"/>
      <c r="O153" s="523"/>
      <c r="P153" s="523"/>
      <c r="Q153" s="535"/>
      <c r="R153" s="536"/>
      <c r="S153" s="523"/>
      <c r="T153" s="523"/>
      <c r="U153" s="535"/>
      <c r="V153" s="536"/>
      <c r="W153" s="523"/>
      <c r="X153" s="523"/>
      <c r="Y153" s="535"/>
      <c r="Z153" s="536"/>
      <c r="AA153" s="516"/>
      <c r="AB153" s="516"/>
      <c r="AC153" s="485">
        <f>($C153*$AW$8)/2</f>
        <v>102</v>
      </c>
      <c r="AD153" s="486">
        <f>(4.8*10*$C153)/2</f>
        <v>72</v>
      </c>
      <c r="AE153" s="528"/>
      <c r="AF153" s="517"/>
      <c r="AG153" s="556">
        <f t="shared" si="109"/>
        <v>3</v>
      </c>
      <c r="AH153" s="556">
        <f t="shared" si="109"/>
        <v>0</v>
      </c>
      <c r="AI153" s="485">
        <f t="shared" si="107"/>
        <v>174</v>
      </c>
      <c r="AJ153" s="485">
        <f t="shared" si="108"/>
        <v>102</v>
      </c>
      <c r="AK153" s="485">
        <f t="shared" si="108"/>
        <v>72</v>
      </c>
      <c r="AL153" s="485">
        <f t="shared" si="108"/>
        <v>0</v>
      </c>
      <c r="AM153" s="485"/>
      <c r="AN153" s="498">
        <v>24</v>
      </c>
      <c r="AQ153" s="498"/>
      <c r="AR153" s="498"/>
      <c r="AS153" s="539"/>
      <c r="AT153" s="539"/>
      <c r="AU153" s="539"/>
      <c r="AV153" s="539"/>
      <c r="AW153" s="539"/>
      <c r="AX153" s="539"/>
      <c r="AY153" s="539">
        <v>7</v>
      </c>
      <c r="AZ153" s="539">
        <v>7</v>
      </c>
      <c r="BC153" s="498"/>
    </row>
    <row r="154" spans="1:55" s="498" customFormat="1" ht="13.95" customHeight="1" x14ac:dyDescent="0.3">
      <c r="A154" s="501">
        <v>4</v>
      </c>
      <c r="B154" s="502" t="s">
        <v>32</v>
      </c>
      <c r="C154" s="503">
        <f>SUM(C155:C162)</f>
        <v>1115</v>
      </c>
      <c r="D154" s="503">
        <f t="shared" ref="D154:AL154" si="110">SUM(D155:D162)</f>
        <v>71</v>
      </c>
      <c r="E154" s="503">
        <f t="shared" si="110"/>
        <v>6970</v>
      </c>
      <c r="F154" s="503">
        <f t="shared" si="110"/>
        <v>4920</v>
      </c>
      <c r="G154" s="503">
        <f t="shared" si="110"/>
        <v>0</v>
      </c>
      <c r="H154" s="503"/>
      <c r="I154" s="503">
        <f t="shared" si="110"/>
        <v>16796</v>
      </c>
      <c r="J154" s="503">
        <f t="shared" si="110"/>
        <v>11856</v>
      </c>
      <c r="K154" s="503">
        <f t="shared" si="110"/>
        <v>0</v>
      </c>
      <c r="L154" s="503"/>
      <c r="M154" s="503">
        <f t="shared" si="110"/>
        <v>21216</v>
      </c>
      <c r="N154" s="503">
        <f t="shared" si="110"/>
        <v>14976</v>
      </c>
      <c r="O154" s="503">
        <f t="shared" si="110"/>
        <v>9840</v>
      </c>
      <c r="P154" s="503"/>
      <c r="Q154" s="503">
        <f t="shared" si="110"/>
        <v>26214</v>
      </c>
      <c r="R154" s="503">
        <f t="shared" si="110"/>
        <v>18504</v>
      </c>
      <c r="S154" s="503">
        <f t="shared" si="110"/>
        <v>4176</v>
      </c>
      <c r="T154" s="503"/>
      <c r="U154" s="503">
        <f t="shared" si="110"/>
        <v>26384</v>
      </c>
      <c r="V154" s="503">
        <f t="shared" si="110"/>
        <v>18624</v>
      </c>
      <c r="W154" s="503">
        <f t="shared" si="110"/>
        <v>12600</v>
      </c>
      <c r="X154" s="503"/>
      <c r="Y154" s="503">
        <f t="shared" si="110"/>
        <v>21114</v>
      </c>
      <c r="Z154" s="503">
        <f t="shared" si="110"/>
        <v>14904</v>
      </c>
      <c r="AA154" s="503">
        <f t="shared" si="110"/>
        <v>9168</v>
      </c>
      <c r="AB154" s="503"/>
      <c r="AC154" s="503">
        <f t="shared" si="110"/>
        <v>17544</v>
      </c>
      <c r="AD154" s="503">
        <f t="shared" si="110"/>
        <v>12384</v>
      </c>
      <c r="AE154" s="503">
        <f t="shared" si="110"/>
        <v>7680</v>
      </c>
      <c r="AF154" s="503"/>
      <c r="AG154" s="503">
        <f t="shared" si="110"/>
        <v>826</v>
      </c>
      <c r="AH154" s="503">
        <f t="shared" si="110"/>
        <v>65</v>
      </c>
      <c r="AI154" s="503">
        <f t="shared" si="110"/>
        <v>235328</v>
      </c>
      <c r="AJ154" s="503">
        <f t="shared" si="110"/>
        <v>112472</v>
      </c>
      <c r="AK154" s="503">
        <f t="shared" si="110"/>
        <v>79392</v>
      </c>
      <c r="AL154" s="503">
        <f t="shared" si="110"/>
        <v>43464</v>
      </c>
      <c r="AM154" s="504"/>
      <c r="AN154" s="498">
        <v>21</v>
      </c>
      <c r="AQ154" s="251"/>
      <c r="AR154" s="251"/>
      <c r="AS154" s="539"/>
    </row>
    <row r="155" spans="1:55" ht="13.95" customHeight="1" x14ac:dyDescent="0.3">
      <c r="A155" s="521"/>
      <c r="B155" s="515" t="s">
        <v>639</v>
      </c>
      <c r="C155" s="551">
        <f>'[2]7,9,25 Đào tạo TH'!E18</f>
        <v>108</v>
      </c>
      <c r="D155" s="555">
        <v>0</v>
      </c>
      <c r="E155" s="518">
        <f>($C155*$AW$9)/2</f>
        <v>3672</v>
      </c>
      <c r="F155" s="519">
        <f>(4.8*10*$C155)/2</f>
        <v>2592</v>
      </c>
      <c r="G155" s="517"/>
      <c r="H155" s="517"/>
      <c r="I155" s="518">
        <f>($C155*$AW$9)</f>
        <v>7344</v>
      </c>
      <c r="J155" s="519">
        <f>(4.8*10*$C155)</f>
        <v>5184</v>
      </c>
      <c r="K155" s="517"/>
      <c r="L155" s="517"/>
      <c r="M155" s="518">
        <f>I155/2</f>
        <v>3672</v>
      </c>
      <c r="N155" s="519">
        <f>J155/2</f>
        <v>2592</v>
      </c>
      <c r="O155" s="517">
        <f>($C155-$D155)*$AY$9+($D155*$AY$9*$AZ$9)</f>
        <v>5184</v>
      </c>
      <c r="P155" s="517"/>
      <c r="Q155" s="518"/>
      <c r="R155" s="519"/>
      <c r="S155" s="517"/>
      <c r="T155" s="517"/>
      <c r="U155" s="518"/>
      <c r="V155" s="519"/>
      <c r="W155" s="517"/>
      <c r="X155" s="517"/>
      <c r="Y155" s="518"/>
      <c r="Z155" s="519"/>
      <c r="AA155" s="517"/>
      <c r="AB155" s="517"/>
      <c r="AC155" s="518"/>
      <c r="AD155" s="519"/>
      <c r="AE155" s="517"/>
      <c r="AF155" s="517"/>
      <c r="AG155" s="517"/>
      <c r="AH155" s="517"/>
      <c r="AI155" s="485">
        <f t="shared" ref="AI155:AI162" si="111">AJ155+AL155+AK155</f>
        <v>11448</v>
      </c>
      <c r="AJ155" s="485">
        <f t="shared" ref="AJ155:AL162" si="112">M155+Q155+U155+Y155+AC155</f>
        <v>3672</v>
      </c>
      <c r="AK155" s="485">
        <f t="shared" si="112"/>
        <v>2592</v>
      </c>
      <c r="AL155" s="485">
        <f t="shared" si="112"/>
        <v>5184</v>
      </c>
      <c r="AM155" s="485"/>
      <c r="AN155" s="496"/>
      <c r="AQ155" s="253"/>
      <c r="AR155" s="253"/>
      <c r="AS155" s="539"/>
      <c r="AT155" s="498"/>
      <c r="AU155" s="498"/>
      <c r="AV155" s="498"/>
      <c r="AW155" s="498"/>
      <c r="AX155" s="498"/>
      <c r="AY155" s="498"/>
      <c r="AZ155" s="498"/>
    </row>
    <row r="156" spans="1:55" ht="13.95" customHeight="1" x14ac:dyDescent="0.3">
      <c r="A156" s="521"/>
      <c r="B156" s="515" t="s">
        <v>641</v>
      </c>
      <c r="C156" s="551">
        <f>'[2]7,9,25 Đào tạo TH'!F18</f>
        <v>97</v>
      </c>
      <c r="D156" s="555">
        <v>0</v>
      </c>
      <c r="E156" s="518">
        <f>($C156*$AW$9)/2</f>
        <v>3298</v>
      </c>
      <c r="F156" s="519">
        <f>(4.8*10*$C156)/2</f>
        <v>2328</v>
      </c>
      <c r="G156" s="517"/>
      <c r="H156" s="517"/>
      <c r="I156" s="518">
        <f>($C156*$AW$9)</f>
        <v>6596</v>
      </c>
      <c r="J156" s="519">
        <f>(4.8*10*$C156)</f>
        <v>4656</v>
      </c>
      <c r="K156" s="517"/>
      <c r="L156" s="517"/>
      <c r="M156" s="518">
        <f>I156/2</f>
        <v>3298</v>
      </c>
      <c r="N156" s="519">
        <f>J156/2</f>
        <v>2328</v>
      </c>
      <c r="O156" s="517">
        <f>($C156-$D156)*$AY$9+($D156*$AY$9*$AZ$9)</f>
        <v>4656</v>
      </c>
      <c r="P156" s="517"/>
      <c r="Q156" s="518"/>
      <c r="R156" s="519"/>
      <c r="S156" s="517"/>
      <c r="T156" s="517"/>
      <c r="U156" s="518"/>
      <c r="V156" s="519"/>
      <c r="W156" s="517"/>
      <c r="X156" s="517"/>
      <c r="Y156" s="518"/>
      <c r="Z156" s="519"/>
      <c r="AA156" s="517"/>
      <c r="AB156" s="517"/>
      <c r="AC156" s="518"/>
      <c r="AD156" s="519"/>
      <c r="AE156" s="517"/>
      <c r="AF156" s="517"/>
      <c r="AG156" s="517"/>
      <c r="AH156" s="517"/>
      <c r="AI156" s="485">
        <f t="shared" si="111"/>
        <v>10282</v>
      </c>
      <c r="AJ156" s="485">
        <f t="shared" si="112"/>
        <v>3298</v>
      </c>
      <c r="AK156" s="485">
        <f t="shared" si="112"/>
        <v>2328</v>
      </c>
      <c r="AL156" s="485">
        <f t="shared" si="112"/>
        <v>4656</v>
      </c>
      <c r="AM156" s="485"/>
      <c r="AN156" s="496"/>
      <c r="AQ156" s="253"/>
      <c r="AR156" s="253"/>
      <c r="AS156" s="539"/>
      <c r="AT156" s="498"/>
      <c r="AU156" s="498"/>
      <c r="AV156" s="498"/>
      <c r="AW156" s="498"/>
      <c r="AX156" s="498"/>
      <c r="AY156" s="498"/>
      <c r="AZ156" s="498"/>
    </row>
    <row r="157" spans="1:55" s="498" customFormat="1" ht="13.95" customHeight="1" x14ac:dyDescent="0.3">
      <c r="A157" s="521"/>
      <c r="B157" s="515" t="s">
        <v>642</v>
      </c>
      <c r="C157" s="551">
        <f>'[2]7,9,25 Đào tạo TH'!G18</f>
        <v>84</v>
      </c>
      <c r="D157" s="555">
        <f>'[2]Đao tao dự kien'!P17</f>
        <v>6</v>
      </c>
      <c r="E157" s="532"/>
      <c r="F157" s="533"/>
      <c r="G157" s="532"/>
      <c r="H157" s="532"/>
      <c r="I157" s="518">
        <f>($C157*$AW$9)/2</f>
        <v>2856</v>
      </c>
      <c r="J157" s="519">
        <f>(4.8*10*$C157)/2</f>
        <v>2016</v>
      </c>
      <c r="K157" s="517"/>
      <c r="L157" s="517"/>
      <c r="M157" s="518">
        <f>($C157*$AW$9)</f>
        <v>5712</v>
      </c>
      <c r="N157" s="519">
        <f>(4.8*10*$C157)</f>
        <v>4032</v>
      </c>
      <c r="O157" s="517"/>
      <c r="P157" s="517"/>
      <c r="Q157" s="518">
        <f>M157/2</f>
        <v>2856</v>
      </c>
      <c r="R157" s="519">
        <f>N157/2</f>
        <v>2016</v>
      </c>
      <c r="S157" s="517">
        <f>($C157-$D157)*$AY$9+($D157*$AY$9*$AZ$9)</f>
        <v>4176</v>
      </c>
      <c r="T157" s="517"/>
      <c r="U157" s="518"/>
      <c r="V157" s="519"/>
      <c r="W157" s="517"/>
      <c r="X157" s="517"/>
      <c r="Y157" s="518"/>
      <c r="Z157" s="519"/>
      <c r="AA157" s="517"/>
      <c r="AB157" s="517"/>
      <c r="AC157" s="518"/>
      <c r="AD157" s="519"/>
      <c r="AE157" s="517"/>
      <c r="AF157" s="517"/>
      <c r="AG157" s="517"/>
      <c r="AH157" s="517"/>
      <c r="AI157" s="485">
        <f t="shared" si="111"/>
        <v>18792</v>
      </c>
      <c r="AJ157" s="485">
        <f t="shared" si="112"/>
        <v>8568</v>
      </c>
      <c r="AK157" s="485">
        <f t="shared" si="112"/>
        <v>6048</v>
      </c>
      <c r="AL157" s="485">
        <f t="shared" si="112"/>
        <v>4176</v>
      </c>
      <c r="AM157" s="485"/>
      <c r="AN157" s="498" t="s">
        <v>648</v>
      </c>
      <c r="AS157" s="539"/>
      <c r="AT157" s="251"/>
      <c r="AU157" s="251"/>
      <c r="AV157" s="251"/>
    </row>
    <row r="158" spans="1:55" s="498" customFormat="1" ht="13.95" customHeight="1" x14ac:dyDescent="0.3">
      <c r="A158" s="523"/>
      <c r="B158" s="515" t="s">
        <v>643</v>
      </c>
      <c r="C158" s="551">
        <f>'[2]7,9,25 Đào tạo TH'!H18</f>
        <v>251</v>
      </c>
      <c r="D158" s="555">
        <f>'[2]Đao tao dự kien'!Q17</f>
        <v>23</v>
      </c>
      <c r="E158" s="523"/>
      <c r="F158" s="534"/>
      <c r="G158" s="523"/>
      <c r="H158" s="523"/>
      <c r="I158" s="535"/>
      <c r="J158" s="536"/>
      <c r="K158" s="523"/>
      <c r="L158" s="523"/>
      <c r="M158" s="518">
        <f>($C158*$AW$9)/2</f>
        <v>8534</v>
      </c>
      <c r="N158" s="519">
        <f>(4.8*10*$C158)/2</f>
        <v>6024</v>
      </c>
      <c r="O158" s="517"/>
      <c r="P158" s="517"/>
      <c r="Q158" s="518">
        <f>($C158*$AW$9)</f>
        <v>17068</v>
      </c>
      <c r="R158" s="519">
        <f>(4.8*10*$C158)</f>
        <v>12048</v>
      </c>
      <c r="S158" s="517"/>
      <c r="T158" s="517"/>
      <c r="U158" s="518">
        <f>Q158/2</f>
        <v>8534</v>
      </c>
      <c r="V158" s="519">
        <f>R158/2</f>
        <v>6024</v>
      </c>
      <c r="W158" s="517">
        <f>($C158-$D158)*$AY$9+($D158*$AY$9*$AZ$9)</f>
        <v>12600</v>
      </c>
      <c r="X158" s="517"/>
      <c r="Y158" s="518"/>
      <c r="Z158" s="519"/>
      <c r="AA158" s="517"/>
      <c r="AB158" s="517"/>
      <c r="AC158" s="526"/>
      <c r="AD158" s="527"/>
      <c r="AE158" s="516"/>
      <c r="AF158" s="516"/>
      <c r="AG158" s="556">
        <f t="shared" ref="AG158:AH162" si="113">C158</f>
        <v>251</v>
      </c>
      <c r="AH158" s="556">
        <f t="shared" si="113"/>
        <v>23</v>
      </c>
      <c r="AI158" s="485">
        <f t="shared" si="111"/>
        <v>70832</v>
      </c>
      <c r="AJ158" s="485">
        <f t="shared" si="112"/>
        <v>34136</v>
      </c>
      <c r="AK158" s="485">
        <f t="shared" si="112"/>
        <v>24096</v>
      </c>
      <c r="AL158" s="485">
        <f t="shared" si="112"/>
        <v>12600</v>
      </c>
      <c r="AM158" s="485"/>
      <c r="AS158" s="539"/>
      <c r="AY158" s="251"/>
      <c r="AZ158" s="251"/>
      <c r="BA158" s="251"/>
      <c r="BB158" s="251"/>
      <c r="BC158" s="251"/>
    </row>
    <row r="159" spans="1:55" s="498" customFormat="1" ht="13.95" customHeight="1" x14ac:dyDescent="0.3">
      <c r="A159" s="521"/>
      <c r="B159" s="515" t="s">
        <v>644</v>
      </c>
      <c r="C159" s="551">
        <f>'[2]7,9,25 Đào tạo TH'!I18</f>
        <v>185</v>
      </c>
      <c r="D159" s="555">
        <f>'[2]Đao tao dự kien'!R17</f>
        <v>12</v>
      </c>
      <c r="E159" s="532"/>
      <c r="F159" s="533"/>
      <c r="G159" s="532"/>
      <c r="H159" s="532"/>
      <c r="I159" s="537"/>
      <c r="J159" s="538"/>
      <c r="K159" s="532"/>
      <c r="L159" s="532"/>
      <c r="M159" s="537"/>
      <c r="N159" s="538"/>
      <c r="O159" s="532"/>
      <c r="P159" s="532"/>
      <c r="Q159" s="518">
        <f>($C159*$AW$9)/2</f>
        <v>6290</v>
      </c>
      <c r="R159" s="519">
        <f>(4.8*10*$C159)/2</f>
        <v>4440</v>
      </c>
      <c r="S159" s="517"/>
      <c r="T159" s="517"/>
      <c r="U159" s="518">
        <f>($C159*$AW$9)</f>
        <v>12580</v>
      </c>
      <c r="V159" s="519">
        <f>(4.8*10*$C159)</f>
        <v>8880</v>
      </c>
      <c r="W159" s="517"/>
      <c r="X159" s="517"/>
      <c r="Y159" s="518">
        <f>U159/2</f>
        <v>6290</v>
      </c>
      <c r="Z159" s="519">
        <f>V159/2</f>
        <v>4440</v>
      </c>
      <c r="AA159" s="517">
        <f>($C159-$D159)*$AY$9+($D159*$AY$9*$AZ$9)</f>
        <v>9168</v>
      </c>
      <c r="AB159" s="517"/>
      <c r="AC159" s="518"/>
      <c r="AD159" s="519"/>
      <c r="AE159" s="517"/>
      <c r="AF159" s="517"/>
      <c r="AG159" s="556">
        <f t="shared" si="113"/>
        <v>185</v>
      </c>
      <c r="AH159" s="556">
        <f t="shared" si="113"/>
        <v>12</v>
      </c>
      <c r="AI159" s="485">
        <f t="shared" si="111"/>
        <v>52088</v>
      </c>
      <c r="AJ159" s="485">
        <f t="shared" si="112"/>
        <v>25160</v>
      </c>
      <c r="AK159" s="485">
        <f t="shared" si="112"/>
        <v>17760</v>
      </c>
      <c r="AL159" s="485">
        <f t="shared" si="112"/>
        <v>9168</v>
      </c>
      <c r="AM159" s="485"/>
      <c r="AN159" s="251"/>
      <c r="AT159" s="251"/>
      <c r="AU159" s="251"/>
      <c r="AV159" s="251"/>
      <c r="AW159" s="251"/>
      <c r="AX159" s="251"/>
    </row>
    <row r="160" spans="1:55" ht="13.95" customHeight="1" x14ac:dyDescent="0.3">
      <c r="A160" s="523"/>
      <c r="B160" s="515" t="s">
        <v>645</v>
      </c>
      <c r="C160" s="551">
        <f>'[2]7,9,25 Đào tạo TH'!J18</f>
        <v>155</v>
      </c>
      <c r="D160" s="555">
        <f>'[2]Đao tao dự kien'!S17</f>
        <v>10</v>
      </c>
      <c r="E160" s="523"/>
      <c r="F160" s="534"/>
      <c r="G160" s="523"/>
      <c r="H160" s="523"/>
      <c r="I160" s="535"/>
      <c r="J160" s="536"/>
      <c r="K160" s="523"/>
      <c r="L160" s="523"/>
      <c r="M160" s="535"/>
      <c r="N160" s="536"/>
      <c r="O160" s="523"/>
      <c r="P160" s="523"/>
      <c r="Q160" s="535"/>
      <c r="R160" s="536"/>
      <c r="S160" s="523"/>
      <c r="T160" s="523"/>
      <c r="U160" s="518">
        <f>($C160*$AW$9)/2</f>
        <v>5270</v>
      </c>
      <c r="V160" s="519">
        <f>(4.8*10*$C160)/2</f>
        <v>3720</v>
      </c>
      <c r="W160" s="517"/>
      <c r="X160" s="517"/>
      <c r="Y160" s="518">
        <f>($C160*$AW$9)</f>
        <v>10540</v>
      </c>
      <c r="Z160" s="519">
        <f>(4.8*10*$C160)</f>
        <v>7440</v>
      </c>
      <c r="AA160" s="517"/>
      <c r="AB160" s="517"/>
      <c r="AC160" s="518">
        <f>Y160/2</f>
        <v>5270</v>
      </c>
      <c r="AD160" s="519">
        <f>Z160/2</f>
        <v>3720</v>
      </c>
      <c r="AE160" s="517">
        <f>($C160-$D160)*$AY$9+($D160*$AY$9*$AZ$9)</f>
        <v>7680</v>
      </c>
      <c r="AF160" s="517"/>
      <c r="AG160" s="556">
        <f t="shared" si="113"/>
        <v>155</v>
      </c>
      <c r="AH160" s="556">
        <f t="shared" si="113"/>
        <v>10</v>
      </c>
      <c r="AI160" s="485">
        <f t="shared" si="111"/>
        <v>43640</v>
      </c>
      <c r="AJ160" s="485">
        <f t="shared" si="112"/>
        <v>21080</v>
      </c>
      <c r="AK160" s="485">
        <f t="shared" si="112"/>
        <v>14880</v>
      </c>
      <c r="AL160" s="485">
        <f t="shared" si="112"/>
        <v>7680</v>
      </c>
      <c r="AM160" s="485"/>
      <c r="AN160" s="498"/>
      <c r="AQ160" s="498"/>
      <c r="AR160" s="498"/>
      <c r="AS160" s="498"/>
      <c r="AT160" s="498"/>
      <c r="AU160" s="498"/>
      <c r="AV160" s="498"/>
      <c r="AW160" s="498"/>
      <c r="AX160" s="498"/>
      <c r="BA160" s="498"/>
      <c r="BB160" s="498"/>
    </row>
    <row r="161" spans="1:55" s="498" customFormat="1" ht="13.95" customHeight="1" x14ac:dyDescent="0.3">
      <c r="A161" s="521"/>
      <c r="B161" s="515" t="s">
        <v>646</v>
      </c>
      <c r="C161" s="551">
        <f>'[2]7,9,25 Đào tạo TH'!K18</f>
        <v>126</v>
      </c>
      <c r="D161" s="555">
        <f>'[2]Đao tao dự kien'!T17</f>
        <v>11</v>
      </c>
      <c r="E161" s="532"/>
      <c r="F161" s="533"/>
      <c r="G161" s="532"/>
      <c r="H161" s="532"/>
      <c r="I161" s="537"/>
      <c r="J161" s="538"/>
      <c r="K161" s="532"/>
      <c r="L161" s="532"/>
      <c r="M161" s="537"/>
      <c r="N161" s="538"/>
      <c r="O161" s="532"/>
      <c r="P161" s="532"/>
      <c r="Q161" s="537"/>
      <c r="R161" s="538"/>
      <c r="S161" s="532"/>
      <c r="T161" s="532"/>
      <c r="U161" s="537"/>
      <c r="V161" s="538"/>
      <c r="W161" s="532"/>
      <c r="X161" s="532"/>
      <c r="Y161" s="518">
        <f>($C161*$AW$9)/2</f>
        <v>4284</v>
      </c>
      <c r="Z161" s="519">
        <f>(4.8*10*$C161)/2</f>
        <v>3024</v>
      </c>
      <c r="AA161" s="517"/>
      <c r="AB161" s="517"/>
      <c r="AC161" s="518">
        <f>($C161*$AW$9)</f>
        <v>8568</v>
      </c>
      <c r="AD161" s="519">
        <f>(4.8*10*$C161)</f>
        <v>6048</v>
      </c>
      <c r="AE161" s="528"/>
      <c r="AF161" s="517"/>
      <c r="AG161" s="556">
        <f t="shared" si="113"/>
        <v>126</v>
      </c>
      <c r="AH161" s="556">
        <f t="shared" si="113"/>
        <v>11</v>
      </c>
      <c r="AI161" s="485">
        <f t="shared" si="111"/>
        <v>21924</v>
      </c>
      <c r="AJ161" s="485">
        <f t="shared" si="112"/>
        <v>12852</v>
      </c>
      <c r="AK161" s="485">
        <f t="shared" si="112"/>
        <v>9072</v>
      </c>
      <c r="AL161" s="485">
        <f t="shared" si="112"/>
        <v>0</v>
      </c>
      <c r="AM161" s="485"/>
      <c r="AN161" s="251"/>
      <c r="AS161" s="251"/>
      <c r="AT161" s="251"/>
      <c r="AU161" s="251"/>
      <c r="AV161" s="251"/>
      <c r="AW161" s="251"/>
      <c r="AX161" s="251"/>
    </row>
    <row r="162" spans="1:55" ht="13.95" customHeight="1" x14ac:dyDescent="0.3">
      <c r="A162" s="523"/>
      <c r="B162" s="515" t="s">
        <v>647</v>
      </c>
      <c r="C162" s="551">
        <f>'[2]7,9,25 Đào tạo TH'!L18</f>
        <v>109</v>
      </c>
      <c r="D162" s="555">
        <f>'[2]Đao tao dự kien'!U17</f>
        <v>9</v>
      </c>
      <c r="E162" s="523"/>
      <c r="F162" s="534"/>
      <c r="G162" s="523"/>
      <c r="H162" s="523"/>
      <c r="I162" s="535"/>
      <c r="J162" s="536"/>
      <c r="K162" s="523"/>
      <c r="L162" s="523"/>
      <c r="M162" s="535"/>
      <c r="N162" s="536"/>
      <c r="O162" s="523"/>
      <c r="P162" s="523"/>
      <c r="Q162" s="535"/>
      <c r="R162" s="536"/>
      <c r="S162" s="523"/>
      <c r="T162" s="523"/>
      <c r="U162" s="535"/>
      <c r="V162" s="536"/>
      <c r="W162" s="523"/>
      <c r="X162" s="523"/>
      <c r="Y162" s="535"/>
      <c r="Z162" s="536"/>
      <c r="AA162" s="516"/>
      <c r="AB162" s="516"/>
      <c r="AC162" s="518">
        <f>($C162*$AW$9)/2</f>
        <v>3706</v>
      </c>
      <c r="AD162" s="519">
        <f>(4.8*10*$C162)/2</f>
        <v>2616</v>
      </c>
      <c r="AE162" s="528"/>
      <c r="AF162" s="517"/>
      <c r="AG162" s="556">
        <f t="shared" si="113"/>
        <v>109</v>
      </c>
      <c r="AH162" s="556">
        <f t="shared" si="113"/>
        <v>9</v>
      </c>
      <c r="AI162" s="485">
        <f t="shared" si="111"/>
        <v>6322</v>
      </c>
      <c r="AJ162" s="485">
        <f t="shared" si="112"/>
        <v>3706</v>
      </c>
      <c r="AK162" s="485">
        <f t="shared" si="112"/>
        <v>2616</v>
      </c>
      <c r="AL162" s="485">
        <f t="shared" si="112"/>
        <v>0</v>
      </c>
      <c r="AM162" s="485"/>
      <c r="AN162" s="498"/>
      <c r="AQ162" s="498"/>
      <c r="AR162" s="498"/>
      <c r="AS162" s="498"/>
      <c r="AT162" s="542" t="e">
        <f>'[4]Đao tao so lieu TH'!H72</f>
        <v>#REF!</v>
      </c>
      <c r="AU162" s="542" t="e">
        <f>'[4]Đao tao so lieu TH'!I72</f>
        <v>#REF!</v>
      </c>
      <c r="AV162" s="542" t="e">
        <f>'[4]Đao tao so lieu TH'!J72</f>
        <v>#REF!</v>
      </c>
      <c r="AW162" s="542" t="e">
        <f>'[4]Đao tao so lieu TH'!K72</f>
        <v>#REF!</v>
      </c>
      <c r="AX162" s="539"/>
      <c r="AY162" s="539">
        <v>7</v>
      </c>
      <c r="AZ162" s="539">
        <v>7</v>
      </c>
      <c r="BC162" s="498"/>
    </row>
    <row r="163" spans="1:55" s="498" customFormat="1" ht="36.75" customHeight="1" x14ac:dyDescent="0.3">
      <c r="A163" s="501">
        <v>5</v>
      </c>
      <c r="B163" s="502" t="s">
        <v>34</v>
      </c>
      <c r="C163" s="501">
        <f t="shared" ref="C163:AL163" si="114">SUM(C164:C172)</f>
        <v>375</v>
      </c>
      <c r="D163" s="501">
        <f t="shared" si="114"/>
        <v>0</v>
      </c>
      <c r="E163" s="501">
        <f t="shared" si="114"/>
        <v>2900</v>
      </c>
      <c r="F163" s="501">
        <f t="shared" si="114"/>
        <v>2400</v>
      </c>
      <c r="G163" s="501">
        <f t="shared" si="114"/>
        <v>0</v>
      </c>
      <c r="H163" s="501"/>
      <c r="I163" s="501">
        <f t="shared" si="114"/>
        <v>4031</v>
      </c>
      <c r="J163" s="501">
        <f t="shared" si="114"/>
        <v>3336</v>
      </c>
      <c r="K163" s="501">
        <f t="shared" si="114"/>
        <v>0</v>
      </c>
      <c r="L163" s="501"/>
      <c r="M163" s="501">
        <f t="shared" si="114"/>
        <v>6438</v>
      </c>
      <c r="N163" s="501">
        <f t="shared" si="114"/>
        <v>5328</v>
      </c>
      <c r="O163" s="501">
        <f t="shared" si="114"/>
        <v>324</v>
      </c>
      <c r="P163" s="501"/>
      <c r="Q163" s="501">
        <f t="shared" si="114"/>
        <v>9367</v>
      </c>
      <c r="R163" s="501">
        <f t="shared" si="114"/>
        <v>7752</v>
      </c>
      <c r="S163" s="501">
        <f t="shared" si="114"/>
        <v>729</v>
      </c>
      <c r="T163" s="501"/>
      <c r="U163" s="501">
        <f t="shared" si="114"/>
        <v>11368</v>
      </c>
      <c r="V163" s="501">
        <f t="shared" si="114"/>
        <v>9408</v>
      </c>
      <c r="W163" s="501">
        <f t="shared" si="114"/>
        <v>594</v>
      </c>
      <c r="X163" s="501"/>
      <c r="Y163" s="501">
        <f t="shared" si="114"/>
        <v>13340</v>
      </c>
      <c r="Z163" s="501">
        <f t="shared" si="114"/>
        <v>11040</v>
      </c>
      <c r="AA163" s="501">
        <f t="shared" si="114"/>
        <v>459</v>
      </c>
      <c r="AB163" s="501"/>
      <c r="AC163" s="501">
        <f t="shared" si="114"/>
        <v>13514</v>
      </c>
      <c r="AD163" s="501">
        <f t="shared" si="114"/>
        <v>11184</v>
      </c>
      <c r="AE163" s="501">
        <f t="shared" si="114"/>
        <v>2106</v>
      </c>
      <c r="AF163" s="501"/>
      <c r="AG163" s="501">
        <f t="shared" si="114"/>
        <v>297</v>
      </c>
      <c r="AH163" s="501">
        <f t="shared" si="114"/>
        <v>0</v>
      </c>
      <c r="AI163" s="501">
        <f t="shared" si="114"/>
        <v>102951</v>
      </c>
      <c r="AJ163" s="501">
        <f t="shared" si="114"/>
        <v>54027</v>
      </c>
      <c r="AK163" s="501">
        <f t="shared" si="114"/>
        <v>44712</v>
      </c>
      <c r="AL163" s="501">
        <f t="shared" si="114"/>
        <v>4212</v>
      </c>
      <c r="AM163" s="504"/>
      <c r="AN163" s="251"/>
      <c r="AS163" s="251"/>
      <c r="AT163" s="498">
        <v>1107</v>
      </c>
      <c r="AU163" s="498">
        <v>1050</v>
      </c>
      <c r="AV163" s="498">
        <v>1072</v>
      </c>
      <c r="AW163" s="498">
        <v>1065</v>
      </c>
      <c r="AX163" s="498">
        <v>18</v>
      </c>
    </row>
    <row r="164" spans="1:55" s="513" customFormat="1" ht="13.95" customHeight="1" x14ac:dyDescent="0.3">
      <c r="A164" s="543"/>
      <c r="B164" s="505" t="s">
        <v>649</v>
      </c>
      <c r="C164" s="544">
        <v>12</v>
      </c>
      <c r="D164" s="544">
        <v>0</v>
      </c>
      <c r="E164" s="518">
        <f>($C164*$AW$10)</f>
        <v>696</v>
      </c>
      <c r="F164" s="519">
        <f>(4.8*10*$C164)</f>
        <v>576</v>
      </c>
      <c r="G164" s="517"/>
      <c r="H164" s="517"/>
      <c r="I164" s="518">
        <f>E164</f>
        <v>696</v>
      </c>
      <c r="J164" s="519">
        <f>F164</f>
        <v>576</v>
      </c>
      <c r="K164" s="517"/>
      <c r="L164" s="517"/>
      <c r="M164" s="518">
        <f>($C164*$AW$10)/2</f>
        <v>348</v>
      </c>
      <c r="N164" s="519">
        <f>(4.8*10*$C164)/2</f>
        <v>288</v>
      </c>
      <c r="O164" s="517">
        <f>($C164-$D164)*$AY$10+($D164*$AY$10*$AZ$10)</f>
        <v>324</v>
      </c>
      <c r="P164" s="517"/>
      <c r="Q164" s="508"/>
      <c r="R164" s="509"/>
      <c r="S164" s="508"/>
      <c r="T164" s="508"/>
      <c r="U164" s="508"/>
      <c r="V164" s="509"/>
      <c r="W164" s="508"/>
      <c r="X164" s="508"/>
      <c r="Y164" s="508"/>
      <c r="Z164" s="509"/>
      <c r="AA164" s="508"/>
      <c r="AB164" s="508"/>
      <c r="AC164" s="508"/>
      <c r="AD164" s="509"/>
      <c r="AE164" s="508"/>
      <c r="AF164" s="508"/>
      <c r="AG164" s="508"/>
      <c r="AH164" s="508"/>
      <c r="AI164" s="508">
        <f t="shared" ref="AI164:AI172" si="115">AJ164+AL164+AK164</f>
        <v>960</v>
      </c>
      <c r="AJ164" s="508">
        <f t="shared" ref="AJ164:AJ172" si="116">M164+Q164+U164+Y164+AC164</f>
        <v>348</v>
      </c>
      <c r="AK164" s="508">
        <f t="shared" ref="AK164:AK172" si="117">N164+R164+V164+Z164+AD164</f>
        <v>288</v>
      </c>
      <c r="AL164" s="508">
        <f t="shared" ref="AL164:AL172" si="118">O164+S164+W164+AA164+AE164</f>
        <v>324</v>
      </c>
      <c r="AM164" s="508"/>
      <c r="AN164" s="561"/>
      <c r="AQ164" s="514"/>
      <c r="AR164" s="514"/>
      <c r="AS164" s="514"/>
      <c r="AT164" s="514"/>
      <c r="AU164" s="514"/>
      <c r="AV164" s="514"/>
      <c r="AW164" s="514"/>
      <c r="AX164" s="514"/>
      <c r="AY164" s="514"/>
      <c r="AZ164" s="514"/>
    </row>
    <row r="165" spans="1:55" s="513" customFormat="1" ht="13.95" customHeight="1" x14ac:dyDescent="0.3">
      <c r="A165" s="543"/>
      <c r="B165" s="505" t="s">
        <v>639</v>
      </c>
      <c r="C165" s="551">
        <f>'[2]7,9,25 Đào tạo TH'!E21</f>
        <v>27</v>
      </c>
      <c r="D165" s="544">
        <v>0</v>
      </c>
      <c r="E165" s="518">
        <f>($C165*$AW$10)</f>
        <v>1566</v>
      </c>
      <c r="F165" s="519">
        <f>(4.8*10*$C165)</f>
        <v>1296</v>
      </c>
      <c r="G165" s="517"/>
      <c r="H165" s="517"/>
      <c r="I165" s="518">
        <f>E165</f>
        <v>1566</v>
      </c>
      <c r="J165" s="519">
        <f>F165</f>
        <v>1296</v>
      </c>
      <c r="K165" s="517"/>
      <c r="L165" s="517"/>
      <c r="M165" s="518">
        <f>I165</f>
        <v>1566</v>
      </c>
      <c r="N165" s="519">
        <f>J165</f>
        <v>1296</v>
      </c>
      <c r="O165" s="517"/>
      <c r="P165" s="517"/>
      <c r="Q165" s="518">
        <f>E165/2</f>
        <v>783</v>
      </c>
      <c r="R165" s="519">
        <f>F165/2</f>
        <v>648</v>
      </c>
      <c r="S165" s="517">
        <f>($C165-$D165)*$AY$10+($D165*$AY$10*$AZ$10)</f>
        <v>729</v>
      </c>
      <c r="T165" s="517"/>
      <c r="U165" s="518"/>
      <c r="V165" s="519"/>
      <c r="W165" s="517"/>
      <c r="X165" s="517"/>
      <c r="Y165" s="518"/>
      <c r="Z165" s="519"/>
      <c r="AA165" s="485"/>
      <c r="AB165" s="485"/>
      <c r="AC165" s="518"/>
      <c r="AD165" s="519"/>
      <c r="AE165" s="485"/>
      <c r="AF165" s="485"/>
      <c r="AG165" s="508"/>
      <c r="AH165" s="508"/>
      <c r="AI165" s="508">
        <f t="shared" si="115"/>
        <v>5022</v>
      </c>
      <c r="AJ165" s="508">
        <f t="shared" si="116"/>
        <v>2349</v>
      </c>
      <c r="AK165" s="508">
        <f t="shared" si="117"/>
        <v>1944</v>
      </c>
      <c r="AL165" s="508">
        <f t="shared" si="118"/>
        <v>729</v>
      </c>
      <c r="AM165" s="508"/>
      <c r="AN165" s="561"/>
      <c r="AQ165" s="514"/>
      <c r="AR165" s="514"/>
      <c r="AS165" s="514"/>
      <c r="AT165" s="514"/>
      <c r="AU165" s="514"/>
      <c r="AV165" s="514"/>
      <c r="AW165" s="514"/>
      <c r="AX165" s="514"/>
      <c r="AY165" s="514"/>
      <c r="AZ165" s="514"/>
    </row>
    <row r="166" spans="1:55" ht="13.95" customHeight="1" x14ac:dyDescent="0.3">
      <c r="A166" s="521"/>
      <c r="B166" s="515" t="s">
        <v>641</v>
      </c>
      <c r="C166" s="551">
        <f>'[2]7,9,25 Đào tạo TH'!F21</f>
        <v>22</v>
      </c>
      <c r="D166" s="555">
        <v>0</v>
      </c>
      <c r="E166" s="518">
        <f>($C166*$AW$10)/2</f>
        <v>638</v>
      </c>
      <c r="F166" s="519">
        <f>(4.8*10*$C166)/2</f>
        <v>528</v>
      </c>
      <c r="G166" s="517"/>
      <c r="H166" s="517"/>
      <c r="I166" s="518">
        <f>E166*2</f>
        <v>1276</v>
      </c>
      <c r="J166" s="519">
        <f>F166*2</f>
        <v>1056</v>
      </c>
      <c r="K166" s="517"/>
      <c r="L166" s="517"/>
      <c r="M166" s="518">
        <f>I166</f>
        <v>1276</v>
      </c>
      <c r="N166" s="519">
        <f>J166</f>
        <v>1056</v>
      </c>
      <c r="O166" s="517"/>
      <c r="P166" s="517"/>
      <c r="Q166" s="518">
        <f>M166</f>
        <v>1276</v>
      </c>
      <c r="R166" s="519">
        <f>N166</f>
        <v>1056</v>
      </c>
      <c r="S166" s="517"/>
      <c r="T166" s="517"/>
      <c r="U166" s="518">
        <f>E166</f>
        <v>638</v>
      </c>
      <c r="V166" s="519">
        <f>F166</f>
        <v>528</v>
      </c>
      <c r="W166" s="517">
        <f>($C166-$D166)*$AY$10+($D166*$AY$10*$AZ$10)</f>
        <v>594</v>
      </c>
      <c r="X166" s="517"/>
      <c r="Y166" s="518"/>
      <c r="Z166" s="519"/>
      <c r="AA166" s="517"/>
      <c r="AB166" s="517"/>
      <c r="AC166" s="518"/>
      <c r="AD166" s="519"/>
      <c r="AE166" s="485"/>
      <c r="AF166" s="485"/>
      <c r="AG166" s="517"/>
      <c r="AH166" s="517"/>
      <c r="AI166" s="485">
        <f t="shared" si="115"/>
        <v>6424</v>
      </c>
      <c r="AJ166" s="485">
        <f t="shared" si="116"/>
        <v>3190</v>
      </c>
      <c r="AK166" s="485">
        <f t="shared" si="117"/>
        <v>2640</v>
      </c>
      <c r="AL166" s="485">
        <f t="shared" si="118"/>
        <v>594</v>
      </c>
      <c r="AM166" s="485"/>
      <c r="AN166" s="496"/>
      <c r="AQ166" s="498"/>
      <c r="AR166" s="498"/>
      <c r="AS166" s="498"/>
      <c r="AT166" s="498"/>
      <c r="AU166" s="498"/>
      <c r="AV166" s="498"/>
      <c r="AW166" s="498"/>
      <c r="AX166" s="498"/>
      <c r="AY166" s="498"/>
      <c r="AZ166" s="498"/>
    </row>
    <row r="167" spans="1:55" s="498" customFormat="1" ht="13.95" customHeight="1" x14ac:dyDescent="0.3">
      <c r="A167" s="521"/>
      <c r="B167" s="515" t="s">
        <v>642</v>
      </c>
      <c r="C167" s="551">
        <f>'[2]7,9,25 Đào tạo TH'!G21</f>
        <v>17</v>
      </c>
      <c r="D167" s="555">
        <v>0</v>
      </c>
      <c r="E167" s="485"/>
      <c r="F167" s="486"/>
      <c r="G167" s="517"/>
      <c r="H167" s="517"/>
      <c r="I167" s="518">
        <f>($C167*$AW$10)/2</f>
        <v>493</v>
      </c>
      <c r="J167" s="519">
        <f>(4.8*10*$C167)/2</f>
        <v>408</v>
      </c>
      <c r="K167" s="517"/>
      <c r="L167" s="517"/>
      <c r="M167" s="518">
        <f>I167*2</f>
        <v>986</v>
      </c>
      <c r="N167" s="519">
        <f>J167*2</f>
        <v>816</v>
      </c>
      <c r="O167" s="517"/>
      <c r="P167" s="517"/>
      <c r="Q167" s="518">
        <f>M167</f>
        <v>986</v>
      </c>
      <c r="R167" s="519">
        <f>N167</f>
        <v>816</v>
      </c>
      <c r="S167" s="517"/>
      <c r="T167" s="517"/>
      <c r="U167" s="518">
        <f>Q167</f>
        <v>986</v>
      </c>
      <c r="V167" s="519">
        <f>R167</f>
        <v>816</v>
      </c>
      <c r="W167" s="517"/>
      <c r="X167" s="517"/>
      <c r="Y167" s="518">
        <f>I167</f>
        <v>493</v>
      </c>
      <c r="Z167" s="519">
        <f>J167</f>
        <v>408</v>
      </c>
      <c r="AA167" s="517">
        <f>($C167-$D167)*$AY$10+($D167*$AY$10*$AZ$10)</f>
        <v>459</v>
      </c>
      <c r="AB167" s="517"/>
      <c r="AC167" s="518"/>
      <c r="AD167" s="519"/>
      <c r="AE167" s="517"/>
      <c r="AF167" s="517"/>
      <c r="AG167" s="517"/>
      <c r="AH167" s="517"/>
      <c r="AI167" s="485">
        <f t="shared" si="115"/>
        <v>6766</v>
      </c>
      <c r="AJ167" s="485">
        <f t="shared" si="116"/>
        <v>3451</v>
      </c>
      <c r="AK167" s="485">
        <f t="shared" si="117"/>
        <v>2856</v>
      </c>
      <c r="AL167" s="485">
        <f t="shared" si="118"/>
        <v>459</v>
      </c>
      <c r="AM167" s="485"/>
      <c r="AS167" s="251"/>
      <c r="AT167" s="251"/>
      <c r="AU167" s="251"/>
      <c r="AV167" s="251"/>
    </row>
    <row r="168" spans="1:55" s="498" customFormat="1" ht="13.95" customHeight="1" x14ac:dyDescent="0.3">
      <c r="A168" s="523"/>
      <c r="B168" s="515" t="s">
        <v>643</v>
      </c>
      <c r="C168" s="551">
        <f>'[2]7,9,25 Đào tạo TH'!H21</f>
        <v>78</v>
      </c>
      <c r="D168" s="555">
        <v>0</v>
      </c>
      <c r="E168" s="516"/>
      <c r="F168" s="525"/>
      <c r="G168" s="516"/>
      <c r="H168" s="516"/>
      <c r="I168" s="526"/>
      <c r="J168" s="527"/>
      <c r="K168" s="516"/>
      <c r="L168" s="516"/>
      <c r="M168" s="518">
        <f>($C168*$AW$10)/2</f>
        <v>2262</v>
      </c>
      <c r="N168" s="519">
        <f>(4.8*10*$C168)/2</f>
        <v>1872</v>
      </c>
      <c r="O168" s="517"/>
      <c r="P168" s="517"/>
      <c r="Q168" s="518">
        <f>M168*2</f>
        <v>4524</v>
      </c>
      <c r="R168" s="519">
        <f>N168*2</f>
        <v>3744</v>
      </c>
      <c r="S168" s="517"/>
      <c r="T168" s="517"/>
      <c r="U168" s="518">
        <f>Q168</f>
        <v>4524</v>
      </c>
      <c r="V168" s="519">
        <f>R168</f>
        <v>3744</v>
      </c>
      <c r="W168" s="517"/>
      <c r="X168" s="517"/>
      <c r="Y168" s="518">
        <f>U168</f>
        <v>4524</v>
      </c>
      <c r="Z168" s="519">
        <f>V168</f>
        <v>3744</v>
      </c>
      <c r="AA168" s="517"/>
      <c r="AB168" s="517"/>
      <c r="AC168" s="518">
        <f>M168</f>
        <v>2262</v>
      </c>
      <c r="AD168" s="519">
        <f>N168</f>
        <v>1872</v>
      </c>
      <c r="AE168" s="517">
        <f>($C168-$D168)*$AY$10+($D168*$AY$10*$AZ$10)</f>
        <v>2106</v>
      </c>
      <c r="AF168" s="517"/>
      <c r="AG168" s="556">
        <f t="shared" ref="AG168:AH172" si="119">C168</f>
        <v>78</v>
      </c>
      <c r="AH168" s="556">
        <f t="shared" si="119"/>
        <v>0</v>
      </c>
      <c r="AI168" s="485">
        <f t="shared" si="115"/>
        <v>35178</v>
      </c>
      <c r="AJ168" s="485">
        <f t="shared" si="116"/>
        <v>18096</v>
      </c>
      <c r="AK168" s="485">
        <f t="shared" si="117"/>
        <v>14976</v>
      </c>
      <c r="AL168" s="485">
        <f t="shared" si="118"/>
        <v>2106</v>
      </c>
      <c r="AM168" s="485"/>
      <c r="AS168" s="542" t="e">
        <f>'[4]Đao tao so lieu TH'!G72</f>
        <v>#REF!</v>
      </c>
      <c r="AY168" s="251"/>
      <c r="AZ168" s="251"/>
      <c r="BA168" s="251"/>
      <c r="BB168" s="251"/>
      <c r="BC168" s="251"/>
    </row>
    <row r="169" spans="1:55" s="498" customFormat="1" ht="13.95" customHeight="1" x14ac:dyDescent="0.3">
      <c r="A169" s="521"/>
      <c r="B169" s="515" t="s">
        <v>644</v>
      </c>
      <c r="C169" s="551">
        <f>'[2]7,9,25 Đào tạo TH'!I21</f>
        <v>62</v>
      </c>
      <c r="D169" s="555">
        <v>0</v>
      </c>
      <c r="E169" s="517"/>
      <c r="F169" s="486"/>
      <c r="G169" s="517"/>
      <c r="H169" s="517"/>
      <c r="I169" s="518"/>
      <c r="J169" s="519"/>
      <c r="K169" s="517"/>
      <c r="L169" s="517"/>
      <c r="M169" s="518"/>
      <c r="N169" s="519"/>
      <c r="O169" s="517"/>
      <c r="P169" s="517"/>
      <c r="Q169" s="518">
        <f>($C169*$AW$10)/2</f>
        <v>1798</v>
      </c>
      <c r="R169" s="519">
        <f>(4.8*10*$C169)/2</f>
        <v>1488</v>
      </c>
      <c r="S169" s="517"/>
      <c r="T169" s="517"/>
      <c r="U169" s="518">
        <f>Q169*2</f>
        <v>3596</v>
      </c>
      <c r="V169" s="519">
        <f>R169*2</f>
        <v>2976</v>
      </c>
      <c r="W169" s="517"/>
      <c r="X169" s="517"/>
      <c r="Y169" s="518">
        <f>U169</f>
        <v>3596</v>
      </c>
      <c r="Z169" s="519">
        <f>V169</f>
        <v>2976</v>
      </c>
      <c r="AA169" s="517"/>
      <c r="AB169" s="517"/>
      <c r="AC169" s="518">
        <f>Y169</f>
        <v>3596</v>
      </c>
      <c r="AD169" s="519">
        <f>Z169</f>
        <v>2976</v>
      </c>
      <c r="AE169" s="528"/>
      <c r="AF169" s="517"/>
      <c r="AG169" s="556">
        <f t="shared" si="119"/>
        <v>62</v>
      </c>
      <c r="AH169" s="556">
        <f t="shared" si="119"/>
        <v>0</v>
      </c>
      <c r="AI169" s="485">
        <f t="shared" si="115"/>
        <v>23002</v>
      </c>
      <c r="AJ169" s="485">
        <f t="shared" si="116"/>
        <v>12586</v>
      </c>
      <c r="AK169" s="485">
        <f t="shared" si="117"/>
        <v>10416</v>
      </c>
      <c r="AL169" s="485">
        <f t="shared" si="118"/>
        <v>0</v>
      </c>
      <c r="AM169" s="485"/>
      <c r="AN169" s="251"/>
      <c r="AQ169" s="251"/>
      <c r="AR169" s="251"/>
      <c r="AS169" s="498">
        <v>1129</v>
      </c>
      <c r="AT169" s="251"/>
      <c r="AU169" s="251"/>
      <c r="AV169" s="251"/>
      <c r="AW169" s="251"/>
      <c r="AX169" s="251"/>
    </row>
    <row r="170" spans="1:55" ht="13.95" customHeight="1" x14ac:dyDescent="0.3">
      <c r="A170" s="523"/>
      <c r="B170" s="515" t="s">
        <v>645</v>
      </c>
      <c r="C170" s="551">
        <f>'[2]7,9,25 Đào tạo TH'!J21</f>
        <v>56</v>
      </c>
      <c r="D170" s="555">
        <v>0</v>
      </c>
      <c r="E170" s="516"/>
      <c r="F170" s="525"/>
      <c r="G170" s="516"/>
      <c r="H170" s="516"/>
      <c r="I170" s="526"/>
      <c r="J170" s="527"/>
      <c r="K170" s="516"/>
      <c r="L170" s="516"/>
      <c r="M170" s="526"/>
      <c r="N170" s="527"/>
      <c r="O170" s="516"/>
      <c r="P170" s="516"/>
      <c r="Q170" s="526"/>
      <c r="R170" s="519"/>
      <c r="S170" s="557"/>
      <c r="T170" s="557"/>
      <c r="U170" s="518">
        <f>($C170*$AW$10)/2</f>
        <v>1624</v>
      </c>
      <c r="V170" s="519">
        <f>(4.8*10*$C170)/2</f>
        <v>1344</v>
      </c>
      <c r="W170" s="517"/>
      <c r="X170" s="517"/>
      <c r="Y170" s="518">
        <f>U170*2</f>
        <v>3248</v>
      </c>
      <c r="Z170" s="519">
        <f>V170*2</f>
        <v>2688</v>
      </c>
      <c r="AA170" s="517"/>
      <c r="AB170" s="517"/>
      <c r="AC170" s="518">
        <f>Y170</f>
        <v>3248</v>
      </c>
      <c r="AD170" s="519">
        <f>Z170</f>
        <v>2688</v>
      </c>
      <c r="AE170" s="528"/>
      <c r="AF170" s="517"/>
      <c r="AG170" s="556">
        <f t="shared" si="119"/>
        <v>56</v>
      </c>
      <c r="AH170" s="556">
        <f t="shared" si="119"/>
        <v>0</v>
      </c>
      <c r="AI170" s="485">
        <f t="shared" si="115"/>
        <v>14840</v>
      </c>
      <c r="AJ170" s="485">
        <f t="shared" si="116"/>
        <v>8120</v>
      </c>
      <c r="AK170" s="485">
        <f t="shared" si="117"/>
        <v>6720</v>
      </c>
      <c r="AL170" s="485">
        <f t="shared" si="118"/>
        <v>0</v>
      </c>
      <c r="AM170" s="485"/>
      <c r="AN170" s="498"/>
      <c r="AQ170" s="498"/>
      <c r="AR170" s="498"/>
      <c r="AS170" s="498"/>
      <c r="AT170" s="498"/>
      <c r="AU170" s="498"/>
      <c r="AV170" s="498"/>
      <c r="AW170" s="498"/>
      <c r="AX170" s="498"/>
      <c r="BA170" s="498"/>
      <c r="BB170" s="498"/>
    </row>
    <row r="171" spans="1:55" s="498" customFormat="1" ht="13.95" customHeight="1" x14ac:dyDescent="0.3">
      <c r="A171" s="521"/>
      <c r="B171" s="515" t="s">
        <v>646</v>
      </c>
      <c r="C171" s="551">
        <f>'[2]7,9,25 Đào tạo TH'!K21</f>
        <v>51</v>
      </c>
      <c r="D171" s="555">
        <v>0</v>
      </c>
      <c r="E171" s="517"/>
      <c r="F171" s="486"/>
      <c r="G171" s="517"/>
      <c r="H171" s="517"/>
      <c r="I171" s="518"/>
      <c r="J171" s="519"/>
      <c r="K171" s="517"/>
      <c r="L171" s="517"/>
      <c r="M171" s="518"/>
      <c r="N171" s="519"/>
      <c r="O171" s="517"/>
      <c r="P171" s="517"/>
      <c r="Q171" s="518"/>
      <c r="R171" s="519"/>
      <c r="S171" s="558"/>
      <c r="T171" s="558"/>
      <c r="U171" s="518"/>
      <c r="V171" s="519"/>
      <c r="W171" s="517"/>
      <c r="X171" s="517"/>
      <c r="Y171" s="518">
        <f>($C171*$AW$10)/2</f>
        <v>1479</v>
      </c>
      <c r="Z171" s="519">
        <f>(4.8*10*$C171)/2</f>
        <v>1224</v>
      </c>
      <c r="AA171" s="517"/>
      <c r="AB171" s="517"/>
      <c r="AC171" s="518">
        <f>Y171*2</f>
        <v>2958</v>
      </c>
      <c r="AD171" s="519">
        <f>Z171*2</f>
        <v>2448</v>
      </c>
      <c r="AE171" s="528"/>
      <c r="AF171" s="517"/>
      <c r="AG171" s="556">
        <f t="shared" si="119"/>
        <v>51</v>
      </c>
      <c r="AH171" s="556">
        <f t="shared" si="119"/>
        <v>0</v>
      </c>
      <c r="AI171" s="485">
        <f t="shared" si="115"/>
        <v>8109</v>
      </c>
      <c r="AJ171" s="485">
        <f t="shared" si="116"/>
        <v>4437</v>
      </c>
      <c r="AK171" s="485">
        <f t="shared" si="117"/>
        <v>3672</v>
      </c>
      <c r="AL171" s="485">
        <f t="shared" si="118"/>
        <v>0</v>
      </c>
      <c r="AM171" s="485"/>
      <c r="AN171" s="251"/>
      <c r="AQ171" s="251"/>
      <c r="AR171" s="251"/>
      <c r="AS171" s="251"/>
      <c r="AT171" s="251"/>
      <c r="AU171" s="251"/>
      <c r="AV171" s="251"/>
      <c r="AW171" s="251"/>
      <c r="AX171" s="251"/>
    </row>
    <row r="172" spans="1:55" ht="13.95" customHeight="1" x14ac:dyDescent="0.3">
      <c r="A172" s="523"/>
      <c r="B172" s="515" t="s">
        <v>647</v>
      </c>
      <c r="C172" s="551">
        <f>'[2]7,9,25 Đào tạo TH'!L21</f>
        <v>50</v>
      </c>
      <c r="D172" s="555">
        <v>0</v>
      </c>
      <c r="E172" s="516"/>
      <c r="F172" s="525"/>
      <c r="G172" s="516"/>
      <c r="H172" s="516"/>
      <c r="I172" s="526"/>
      <c r="J172" s="527"/>
      <c r="K172" s="516"/>
      <c r="L172" s="516"/>
      <c r="M172" s="526"/>
      <c r="N172" s="527"/>
      <c r="O172" s="516"/>
      <c r="P172" s="516"/>
      <c r="Q172" s="526"/>
      <c r="R172" s="527"/>
      <c r="S172" s="557"/>
      <c r="T172" s="557"/>
      <c r="U172" s="526"/>
      <c r="V172" s="527"/>
      <c r="W172" s="516"/>
      <c r="X172" s="516"/>
      <c r="Y172" s="526"/>
      <c r="Z172" s="527"/>
      <c r="AA172" s="516"/>
      <c r="AB172" s="516"/>
      <c r="AC172" s="518">
        <f>($C172*$AW$10)/2</f>
        <v>1450</v>
      </c>
      <c r="AD172" s="519">
        <f>(4.8*10*$C172)/2</f>
        <v>1200</v>
      </c>
      <c r="AE172" s="528"/>
      <c r="AF172" s="517"/>
      <c r="AG172" s="556">
        <f t="shared" si="119"/>
        <v>50</v>
      </c>
      <c r="AH172" s="556">
        <f t="shared" si="119"/>
        <v>0</v>
      </c>
      <c r="AI172" s="485">
        <f t="shared" si="115"/>
        <v>2650</v>
      </c>
      <c r="AJ172" s="485">
        <f t="shared" si="116"/>
        <v>1450</v>
      </c>
      <c r="AK172" s="485">
        <f t="shared" si="117"/>
        <v>1200</v>
      </c>
      <c r="AL172" s="485">
        <f t="shared" si="118"/>
        <v>0</v>
      </c>
      <c r="AM172" s="485"/>
      <c r="AN172" s="498"/>
      <c r="AQ172" s="498"/>
      <c r="AR172" s="498"/>
      <c r="AS172" s="498"/>
      <c r="AW172" s="498"/>
      <c r="AX172" s="498"/>
      <c r="BC172" s="498"/>
    </row>
    <row r="173" spans="1:55" s="498" customFormat="1" ht="92.25" customHeight="1" x14ac:dyDescent="0.3">
      <c r="A173" s="501">
        <v>6</v>
      </c>
      <c r="B173" s="502" t="s">
        <v>650</v>
      </c>
      <c r="C173" s="501">
        <f>SUM(C174:C180)</f>
        <v>6873</v>
      </c>
      <c r="D173" s="501">
        <f t="shared" ref="D173:AH173" si="120">SUM(D174:D180)</f>
        <v>0</v>
      </c>
      <c r="E173" s="501">
        <f t="shared" si="120"/>
        <v>2361</v>
      </c>
      <c r="F173" s="501">
        <f t="shared" si="120"/>
        <v>0</v>
      </c>
      <c r="G173" s="501">
        <f t="shared" si="120"/>
        <v>0</v>
      </c>
      <c r="H173" s="501"/>
      <c r="I173" s="501">
        <f t="shared" si="120"/>
        <v>1989</v>
      </c>
      <c r="J173" s="501">
        <f t="shared" si="120"/>
        <v>0</v>
      </c>
      <c r="K173" s="501">
        <f t="shared" si="120"/>
        <v>0</v>
      </c>
      <c r="L173" s="501"/>
      <c r="M173" s="501">
        <f t="shared" si="120"/>
        <v>3387</v>
      </c>
      <c r="N173" s="501">
        <f t="shared" si="120"/>
        <v>16257.599999999999</v>
      </c>
      <c r="O173" s="501">
        <f t="shared" si="120"/>
        <v>10161</v>
      </c>
      <c r="P173" s="501"/>
      <c r="Q173" s="501">
        <f t="shared" si="120"/>
        <v>3321</v>
      </c>
      <c r="R173" s="501">
        <f t="shared" si="120"/>
        <v>15940.8</v>
      </c>
      <c r="S173" s="501">
        <f t="shared" si="120"/>
        <v>9963</v>
      </c>
      <c r="T173" s="501"/>
      <c r="U173" s="501">
        <f t="shared" si="120"/>
        <v>3150</v>
      </c>
      <c r="V173" s="501">
        <f t="shared" si="120"/>
        <v>15119.999999999998</v>
      </c>
      <c r="W173" s="501">
        <f t="shared" si="120"/>
        <v>9450</v>
      </c>
      <c r="X173" s="501"/>
      <c r="Y173" s="501">
        <f t="shared" si="120"/>
        <v>3216</v>
      </c>
      <c r="Z173" s="501">
        <f t="shared" si="120"/>
        <v>15436.8</v>
      </c>
      <c r="AA173" s="501">
        <f t="shared" si="120"/>
        <v>9648</v>
      </c>
      <c r="AB173" s="501"/>
      <c r="AC173" s="501">
        <f t="shared" si="120"/>
        <v>3195</v>
      </c>
      <c r="AD173" s="501">
        <f t="shared" si="120"/>
        <v>15335.999999999998</v>
      </c>
      <c r="AE173" s="501">
        <f t="shared" si="120"/>
        <v>9585</v>
      </c>
      <c r="AF173" s="501"/>
      <c r="AG173" s="501">
        <f t="shared" si="120"/>
        <v>5423</v>
      </c>
      <c r="AH173" s="501">
        <f t="shared" si="120"/>
        <v>0</v>
      </c>
      <c r="AI173" s="504">
        <f>SUM(AI174:AI180)</f>
        <v>143167.20000000001</v>
      </c>
      <c r="AJ173" s="504">
        <f t="shared" ref="AJ173:AL173" si="121">SUM(AJ174:AJ180)</f>
        <v>16269</v>
      </c>
      <c r="AK173" s="504">
        <f t="shared" si="121"/>
        <v>78091.199999999997</v>
      </c>
      <c r="AL173" s="504">
        <f t="shared" si="121"/>
        <v>48807</v>
      </c>
      <c r="AM173" s="504"/>
      <c r="AN173" s="251"/>
      <c r="AQ173" s="251"/>
      <c r="AR173" s="251"/>
      <c r="AS173" s="251"/>
      <c r="AT173" s="251"/>
      <c r="AU173" s="251"/>
      <c r="AV173" s="251"/>
      <c r="AW173" s="251"/>
      <c r="AX173" s="251"/>
      <c r="AY173" s="251"/>
      <c r="AZ173" s="251"/>
    </row>
    <row r="174" spans="1:55" ht="13.95" customHeight="1" x14ac:dyDescent="0.25">
      <c r="A174" s="521"/>
      <c r="B174" s="515" t="s">
        <v>641</v>
      </c>
      <c r="C174" s="551">
        <f>'[2]7,9,25 Đào tạo TH'!F24</f>
        <v>787</v>
      </c>
      <c r="D174" s="555"/>
      <c r="E174" s="518">
        <f>($C174+D174)*$AW$11</f>
        <v>2361</v>
      </c>
      <c r="F174" s="519"/>
      <c r="G174" s="485"/>
      <c r="H174" s="485"/>
      <c r="I174" s="518"/>
      <c r="J174" s="519"/>
      <c r="K174" s="485"/>
      <c r="L174" s="485"/>
      <c r="M174" s="518"/>
      <c r="N174" s="519"/>
      <c r="O174" s="485"/>
      <c r="P174" s="485"/>
      <c r="Q174" s="518"/>
      <c r="R174" s="519"/>
      <c r="S174" s="517"/>
      <c r="T174" s="517"/>
      <c r="U174" s="518"/>
      <c r="V174" s="519"/>
      <c r="W174" s="517"/>
      <c r="X174" s="517"/>
      <c r="Y174" s="518"/>
      <c r="Z174" s="519"/>
      <c r="AA174" s="517"/>
      <c r="AB174" s="517"/>
      <c r="AC174" s="518"/>
      <c r="AD174" s="519"/>
      <c r="AE174" s="517"/>
      <c r="AF174" s="517"/>
      <c r="AG174" s="517"/>
      <c r="AH174" s="517"/>
      <c r="AI174" s="485">
        <f t="shared" ref="AI174:AI181" si="122">AJ174+AL174+AK174</f>
        <v>0</v>
      </c>
      <c r="AJ174" s="485">
        <f t="shared" ref="AJ174:AL181" si="123">M174+Q174+U174+Y174+AC174</f>
        <v>0</v>
      </c>
      <c r="AK174" s="485">
        <f t="shared" si="123"/>
        <v>0</v>
      </c>
      <c r="AL174" s="485">
        <f t="shared" si="123"/>
        <v>0</v>
      </c>
      <c r="AM174" s="485"/>
      <c r="AN174" s="496"/>
      <c r="AO174" s="559" t="e">
        <f>'[4]Đao tao so lieu TH'!E72</f>
        <v>#REF!</v>
      </c>
      <c r="AP174" s="559"/>
      <c r="AQ174" s="560" t="e">
        <f>'[4]Đao tao so lieu TH'!F72</f>
        <v>#REF!</v>
      </c>
      <c r="AR174" s="560"/>
      <c r="AS174" s="498"/>
    </row>
    <row r="175" spans="1:55" s="498" customFormat="1" ht="13.95" customHeight="1" x14ac:dyDescent="0.3">
      <c r="A175" s="521"/>
      <c r="B175" s="515" t="s">
        <v>642</v>
      </c>
      <c r="C175" s="551">
        <f>'[2]7,9,25 Đào tạo TH'!G24</f>
        <v>663</v>
      </c>
      <c r="D175" s="555"/>
      <c r="E175" s="532"/>
      <c r="F175" s="533"/>
      <c r="G175" s="532"/>
      <c r="H175" s="532"/>
      <c r="I175" s="518">
        <f>($C175+G175)*$AW$11</f>
        <v>1989</v>
      </c>
      <c r="J175" s="487"/>
      <c r="K175" s="485"/>
      <c r="L175" s="485"/>
      <c r="M175" s="518"/>
      <c r="N175" s="519"/>
      <c r="O175" s="485"/>
      <c r="P175" s="485"/>
      <c r="Q175" s="518"/>
      <c r="R175" s="519"/>
      <c r="S175" s="485"/>
      <c r="T175" s="485"/>
      <c r="U175" s="518"/>
      <c r="V175" s="519"/>
      <c r="W175" s="517"/>
      <c r="X175" s="517"/>
      <c r="Y175" s="518"/>
      <c r="Z175" s="519"/>
      <c r="AA175" s="517"/>
      <c r="AB175" s="517"/>
      <c r="AC175" s="518"/>
      <c r="AD175" s="519"/>
      <c r="AE175" s="517"/>
      <c r="AF175" s="517"/>
      <c r="AG175" s="517"/>
      <c r="AH175" s="517"/>
      <c r="AI175" s="485">
        <f t="shared" si="122"/>
        <v>0</v>
      </c>
      <c r="AJ175" s="485">
        <f t="shared" si="123"/>
        <v>0</v>
      </c>
      <c r="AK175" s="485">
        <f t="shared" si="123"/>
        <v>0</v>
      </c>
      <c r="AL175" s="485">
        <f t="shared" si="123"/>
        <v>0</v>
      </c>
      <c r="AM175" s="485"/>
      <c r="AO175" s="548">
        <v>787</v>
      </c>
      <c r="AP175" s="548"/>
      <c r="AQ175" s="498">
        <v>663</v>
      </c>
      <c r="AS175" s="251"/>
      <c r="AT175" s="251"/>
      <c r="AU175" s="251"/>
      <c r="AV175" s="251"/>
      <c r="AW175" s="251"/>
      <c r="AX175" s="251"/>
      <c r="AY175" s="251"/>
      <c r="AZ175" s="251"/>
    </row>
    <row r="176" spans="1:55" s="498" customFormat="1" ht="13.95" customHeight="1" x14ac:dyDescent="0.3">
      <c r="A176" s="523"/>
      <c r="B176" s="515" t="s">
        <v>643</v>
      </c>
      <c r="C176" s="551">
        <f>'[2]7,9,25 Đào tạo TH'!H24</f>
        <v>1129</v>
      </c>
      <c r="D176" s="555"/>
      <c r="E176" s="523"/>
      <c r="F176" s="534"/>
      <c r="G176" s="523"/>
      <c r="H176" s="523"/>
      <c r="I176" s="523"/>
      <c r="J176" s="540"/>
      <c r="K176" s="523"/>
      <c r="L176" s="523"/>
      <c r="M176" s="518">
        <f>($C176+K176)*$AW$11</f>
        <v>3387</v>
      </c>
      <c r="N176" s="519">
        <f>(4.8*3*$C176)</f>
        <v>16257.599999999999</v>
      </c>
      <c r="O176" s="485">
        <f>(9*$C176)</f>
        <v>10161</v>
      </c>
      <c r="P176" s="485"/>
      <c r="Q176" s="518"/>
      <c r="R176" s="519"/>
      <c r="S176" s="485"/>
      <c r="T176" s="485"/>
      <c r="U176" s="518"/>
      <c r="V176" s="519"/>
      <c r="W176" s="485"/>
      <c r="X176" s="485"/>
      <c r="Y176" s="518"/>
      <c r="Z176" s="519"/>
      <c r="AA176" s="517"/>
      <c r="AB176" s="517"/>
      <c r="AC176" s="523"/>
      <c r="AD176" s="540"/>
      <c r="AE176" s="516"/>
      <c r="AF176" s="516"/>
      <c r="AG176" s="556">
        <f t="shared" ref="AG176:AH180" si="124">C176</f>
        <v>1129</v>
      </c>
      <c r="AH176" s="556">
        <f t="shared" si="124"/>
        <v>0</v>
      </c>
      <c r="AI176" s="485">
        <f t="shared" si="122"/>
        <v>29805.599999999999</v>
      </c>
      <c r="AJ176" s="485">
        <f t="shared" si="123"/>
        <v>3387</v>
      </c>
      <c r="AK176" s="485">
        <f t="shared" si="123"/>
        <v>16257.599999999999</v>
      </c>
      <c r="AL176" s="485">
        <f t="shared" si="123"/>
        <v>10161</v>
      </c>
      <c r="AM176" s="485"/>
      <c r="AO176" s="548">
        <v>787</v>
      </c>
      <c r="AP176" s="548"/>
      <c r="AQ176" s="498">
        <v>14</v>
      </c>
      <c r="AS176" s="251"/>
      <c r="AT176" s="251"/>
      <c r="AU176" s="251"/>
      <c r="AV176" s="251"/>
      <c r="AW176" s="251"/>
      <c r="AX176" s="251"/>
      <c r="AY176" s="251"/>
      <c r="AZ176" s="251"/>
      <c r="BA176" s="251"/>
      <c r="BB176" s="251"/>
      <c r="BC176" s="251"/>
    </row>
    <row r="177" spans="1:55" s="498" customFormat="1" ht="13.95" customHeight="1" x14ac:dyDescent="0.3">
      <c r="A177" s="521"/>
      <c r="B177" s="515" t="s">
        <v>644</v>
      </c>
      <c r="C177" s="551">
        <f>'[2]7,9,25 Đào tạo TH'!I24</f>
        <v>1107</v>
      </c>
      <c r="D177" s="555"/>
      <c r="E177" s="532"/>
      <c r="F177" s="533"/>
      <c r="G177" s="532"/>
      <c r="H177" s="532"/>
      <c r="I177" s="532"/>
      <c r="J177" s="541"/>
      <c r="K177" s="532"/>
      <c r="L177" s="532"/>
      <c r="M177" s="532"/>
      <c r="N177" s="541"/>
      <c r="O177" s="532"/>
      <c r="P177" s="532"/>
      <c r="Q177" s="518">
        <f>($C177+O177)*$AW$11</f>
        <v>3321</v>
      </c>
      <c r="R177" s="519">
        <f>(4.8*3*$C177)</f>
        <v>15940.8</v>
      </c>
      <c r="S177" s="485">
        <f>(9*$C177)</f>
        <v>9963</v>
      </c>
      <c r="T177" s="485"/>
      <c r="U177" s="518"/>
      <c r="V177" s="519"/>
      <c r="W177" s="485"/>
      <c r="X177" s="485"/>
      <c r="Y177" s="518"/>
      <c r="Z177" s="519"/>
      <c r="AA177" s="485"/>
      <c r="AB177" s="485"/>
      <c r="AC177" s="518"/>
      <c r="AD177" s="519"/>
      <c r="AE177" s="517"/>
      <c r="AF177" s="517"/>
      <c r="AG177" s="556">
        <f t="shared" si="124"/>
        <v>1107</v>
      </c>
      <c r="AH177" s="556">
        <f t="shared" si="124"/>
        <v>0</v>
      </c>
      <c r="AI177" s="485">
        <f t="shared" si="122"/>
        <v>29224.799999999999</v>
      </c>
      <c r="AJ177" s="485">
        <f t="shared" si="123"/>
        <v>3321</v>
      </c>
      <c r="AK177" s="485">
        <f t="shared" si="123"/>
        <v>15940.8</v>
      </c>
      <c r="AL177" s="485">
        <f t="shared" si="123"/>
        <v>9963</v>
      </c>
      <c r="AM177" s="485"/>
      <c r="AN177" s="251"/>
      <c r="AO177" s="498">
        <v>663</v>
      </c>
      <c r="AQ177" s="498">
        <v>7</v>
      </c>
      <c r="AS177" s="251"/>
      <c r="AT177" s="251"/>
      <c r="AU177" s="251"/>
      <c r="AV177" s="251"/>
      <c r="AW177" s="251"/>
      <c r="AX177" s="251"/>
      <c r="AY177" s="251"/>
      <c r="AZ177" s="251"/>
      <c r="BA177" s="251"/>
      <c r="BB177" s="251"/>
    </row>
    <row r="178" spans="1:55" ht="13.95" customHeight="1" x14ac:dyDescent="0.3">
      <c r="A178" s="523"/>
      <c r="B178" s="515" t="s">
        <v>645</v>
      </c>
      <c r="C178" s="551">
        <f>'[2]7,9,25 Đào tạo TH'!J24</f>
        <v>1050</v>
      </c>
      <c r="D178" s="555"/>
      <c r="E178" s="523"/>
      <c r="F178" s="534"/>
      <c r="G178" s="523"/>
      <c r="H178" s="523"/>
      <c r="I178" s="523"/>
      <c r="J178" s="540"/>
      <c r="K178" s="523"/>
      <c r="L178" s="523"/>
      <c r="M178" s="523"/>
      <c r="N178" s="540"/>
      <c r="O178" s="523"/>
      <c r="P178" s="523"/>
      <c r="Q178" s="523"/>
      <c r="R178" s="540"/>
      <c r="S178" s="516"/>
      <c r="T178" s="516"/>
      <c r="U178" s="518">
        <f>($C178+S178)*$AW$11</f>
        <v>3150</v>
      </c>
      <c r="V178" s="519">
        <f>(4.8*3*$C178)</f>
        <v>15119.999999999998</v>
      </c>
      <c r="W178" s="485">
        <f>(9*$C178)</f>
        <v>9450</v>
      </c>
      <c r="X178" s="485"/>
      <c r="Y178" s="518"/>
      <c r="Z178" s="519"/>
      <c r="AA178" s="485"/>
      <c r="AB178" s="485"/>
      <c r="AC178" s="518"/>
      <c r="AD178" s="519"/>
      <c r="AE178" s="517"/>
      <c r="AF178" s="517"/>
      <c r="AG178" s="556">
        <f t="shared" si="124"/>
        <v>1050</v>
      </c>
      <c r="AH178" s="556">
        <f t="shared" si="124"/>
        <v>0</v>
      </c>
      <c r="AI178" s="485">
        <f t="shared" si="122"/>
        <v>27720</v>
      </c>
      <c r="AJ178" s="485">
        <f t="shared" si="123"/>
        <v>3150</v>
      </c>
      <c r="AK178" s="485">
        <f t="shared" si="123"/>
        <v>15119.999999999998</v>
      </c>
      <c r="AL178" s="485">
        <f t="shared" si="123"/>
        <v>9450</v>
      </c>
      <c r="AM178" s="485"/>
      <c r="AN178" s="498"/>
      <c r="AO178" s="498">
        <v>1129</v>
      </c>
      <c r="AP178" s="498"/>
      <c r="AQ178" s="498">
        <v>19</v>
      </c>
      <c r="AR178" s="498"/>
    </row>
    <row r="179" spans="1:55" s="498" customFormat="1" ht="13.95" customHeight="1" x14ac:dyDescent="0.3">
      <c r="A179" s="521"/>
      <c r="B179" s="515" t="s">
        <v>646</v>
      </c>
      <c r="C179" s="551">
        <f>'[2]7,9,25 Đào tạo TH'!K24</f>
        <v>1072</v>
      </c>
      <c r="D179" s="555"/>
      <c r="E179" s="532"/>
      <c r="F179" s="533"/>
      <c r="G179" s="532"/>
      <c r="H179" s="532"/>
      <c r="I179" s="532"/>
      <c r="J179" s="541"/>
      <c r="K179" s="532"/>
      <c r="L179" s="532"/>
      <c r="M179" s="532"/>
      <c r="N179" s="541"/>
      <c r="O179" s="532"/>
      <c r="P179" s="532"/>
      <c r="Q179" s="532"/>
      <c r="R179" s="541"/>
      <c r="S179" s="516"/>
      <c r="T179" s="516"/>
      <c r="U179" s="532"/>
      <c r="V179" s="541"/>
      <c r="W179" s="532"/>
      <c r="X179" s="532"/>
      <c r="Y179" s="518">
        <f>($C179+W179)*$AW$11</f>
        <v>3216</v>
      </c>
      <c r="Z179" s="519">
        <f>(4.8*3*$C179)</f>
        <v>15436.8</v>
      </c>
      <c r="AA179" s="485">
        <f>(9*$C179)</f>
        <v>9648</v>
      </c>
      <c r="AB179" s="485"/>
      <c r="AC179" s="518"/>
      <c r="AD179" s="519"/>
      <c r="AE179" s="517"/>
      <c r="AF179" s="517"/>
      <c r="AG179" s="556">
        <f t="shared" si="124"/>
        <v>1072</v>
      </c>
      <c r="AH179" s="556">
        <f t="shared" si="124"/>
        <v>0</v>
      </c>
      <c r="AI179" s="485">
        <f t="shared" si="122"/>
        <v>28300.799999999999</v>
      </c>
      <c r="AJ179" s="485">
        <f t="shared" si="123"/>
        <v>3216</v>
      </c>
      <c r="AK179" s="485">
        <f t="shared" si="123"/>
        <v>15436.8</v>
      </c>
      <c r="AL179" s="485">
        <f t="shared" si="123"/>
        <v>9648</v>
      </c>
      <c r="AM179" s="485"/>
      <c r="AN179" s="251"/>
      <c r="AO179" s="498">
        <v>1107</v>
      </c>
      <c r="AQ179" s="498">
        <v>7</v>
      </c>
      <c r="AS179" s="251"/>
      <c r="AT179" s="251"/>
      <c r="AU179" s="251"/>
      <c r="AV179" s="251"/>
      <c r="AW179" s="251"/>
      <c r="AX179" s="251"/>
      <c r="AY179" s="251"/>
      <c r="AZ179" s="251"/>
      <c r="BA179" s="251"/>
      <c r="BB179" s="251"/>
      <c r="BC179" s="251"/>
    </row>
    <row r="180" spans="1:55" ht="13.95" customHeight="1" x14ac:dyDescent="0.3">
      <c r="A180" s="523"/>
      <c r="B180" s="515" t="s">
        <v>647</v>
      </c>
      <c r="C180" s="551">
        <f>'[2]7,9,25 Đào tạo TH'!L24</f>
        <v>1065</v>
      </c>
      <c r="D180" s="555"/>
      <c r="E180" s="523"/>
      <c r="F180" s="534"/>
      <c r="G180" s="523"/>
      <c r="H180" s="523"/>
      <c r="I180" s="523"/>
      <c r="J180" s="540"/>
      <c r="K180" s="523"/>
      <c r="L180" s="523"/>
      <c r="M180" s="523"/>
      <c r="N180" s="540"/>
      <c r="O180" s="523"/>
      <c r="P180" s="523"/>
      <c r="Q180" s="523"/>
      <c r="R180" s="540"/>
      <c r="S180" s="516"/>
      <c r="T180" s="516"/>
      <c r="U180" s="523"/>
      <c r="V180" s="540"/>
      <c r="W180" s="523"/>
      <c r="X180" s="523"/>
      <c r="Y180" s="523"/>
      <c r="Z180" s="540"/>
      <c r="AA180" s="485"/>
      <c r="AB180" s="485"/>
      <c r="AC180" s="518">
        <f>($C180+AA180)*$AW$11</f>
        <v>3195</v>
      </c>
      <c r="AD180" s="519">
        <f>(4.8*3*$C180)</f>
        <v>15335.999999999998</v>
      </c>
      <c r="AE180" s="485">
        <f>(9*$C180)</f>
        <v>9585</v>
      </c>
      <c r="AF180" s="485"/>
      <c r="AG180" s="556">
        <f t="shared" si="124"/>
        <v>1065</v>
      </c>
      <c r="AH180" s="556">
        <f t="shared" si="124"/>
        <v>0</v>
      </c>
      <c r="AI180" s="485">
        <f t="shared" si="122"/>
        <v>28116</v>
      </c>
      <c r="AJ180" s="485">
        <f t="shared" si="123"/>
        <v>3195</v>
      </c>
      <c r="AK180" s="485">
        <f t="shared" si="123"/>
        <v>15335.999999999998</v>
      </c>
      <c r="AL180" s="485">
        <f t="shared" si="123"/>
        <v>9585</v>
      </c>
      <c r="AM180" s="485"/>
      <c r="AN180" s="498"/>
      <c r="AO180" s="498">
        <v>1050</v>
      </c>
      <c r="AP180" s="498"/>
      <c r="AQ180" s="498">
        <v>18</v>
      </c>
      <c r="AR180" s="498"/>
    </row>
    <row r="181" spans="1:55" s="498" customFormat="1" ht="13.95" customHeight="1" x14ac:dyDescent="0.3">
      <c r="A181" s="523"/>
      <c r="B181" s="563"/>
      <c r="C181" s="652"/>
      <c r="D181" s="652"/>
      <c r="E181" s="652"/>
      <c r="F181" s="652"/>
      <c r="G181" s="652"/>
      <c r="H181" s="564"/>
      <c r="I181" s="652"/>
      <c r="J181" s="652"/>
      <c r="K181" s="652"/>
      <c r="L181" s="564"/>
      <c r="M181" s="652"/>
      <c r="N181" s="652"/>
      <c r="O181" s="652"/>
      <c r="P181" s="564"/>
      <c r="Q181" s="652"/>
      <c r="R181" s="652"/>
      <c r="S181" s="652"/>
      <c r="T181" s="565"/>
      <c r="U181" s="653"/>
      <c r="V181" s="654"/>
      <c r="W181" s="655"/>
      <c r="X181" s="566"/>
      <c r="Y181" s="652"/>
      <c r="Z181" s="652"/>
      <c r="AA181" s="652"/>
      <c r="AB181" s="564"/>
      <c r="AC181" s="652"/>
      <c r="AD181" s="652"/>
      <c r="AE181" s="652"/>
      <c r="AF181" s="564"/>
      <c r="AG181" s="564"/>
      <c r="AH181" s="564"/>
      <c r="AI181" s="567">
        <f t="shared" si="122"/>
        <v>0</v>
      </c>
      <c r="AJ181" s="567">
        <f t="shared" si="123"/>
        <v>0</v>
      </c>
      <c r="AK181" s="567">
        <f t="shared" si="123"/>
        <v>0</v>
      </c>
      <c r="AL181" s="567">
        <f t="shared" si="123"/>
        <v>0</v>
      </c>
      <c r="AM181" s="567"/>
      <c r="AN181" s="251"/>
      <c r="AQ181" s="251"/>
      <c r="AR181" s="251"/>
      <c r="AS181" s="251"/>
      <c r="AT181" s="251"/>
      <c r="AU181" s="251"/>
      <c r="AV181" s="251"/>
      <c r="AW181" s="251"/>
      <c r="AX181" s="251"/>
      <c r="AY181" s="251"/>
      <c r="AZ181" s="251"/>
      <c r="BA181" s="251"/>
      <c r="BB181" s="251"/>
      <c r="BC181" s="251"/>
    </row>
    <row r="182" spans="1:55" ht="13.95" customHeight="1" x14ac:dyDescent="0.3">
      <c r="BC182" s="253"/>
    </row>
    <row r="183" spans="1:55" s="254" customFormat="1" ht="48" customHeight="1" x14ac:dyDescent="0.3">
      <c r="B183" s="571"/>
      <c r="C183" s="659" t="s">
        <v>651</v>
      </c>
      <c r="D183" s="659"/>
      <c r="E183" s="660" t="s">
        <v>25</v>
      </c>
      <c r="F183" s="661"/>
      <c r="G183" s="662"/>
      <c r="H183" s="460"/>
      <c r="I183" s="660" t="s">
        <v>4</v>
      </c>
      <c r="J183" s="661"/>
      <c r="K183" s="662"/>
      <c r="L183" s="460"/>
      <c r="M183" s="660" t="s">
        <v>6</v>
      </c>
      <c r="N183" s="661"/>
      <c r="O183" s="662"/>
      <c r="P183" s="460"/>
      <c r="Q183" s="660" t="s">
        <v>7</v>
      </c>
      <c r="R183" s="661"/>
      <c r="S183" s="662"/>
      <c r="T183" s="460"/>
      <c r="U183" s="660" t="s">
        <v>8</v>
      </c>
      <c r="V183" s="661"/>
      <c r="W183" s="662"/>
      <c r="X183" s="460"/>
      <c r="Y183" s="660" t="s">
        <v>9</v>
      </c>
      <c r="Z183" s="661"/>
      <c r="AA183" s="662"/>
      <c r="AB183" s="461"/>
      <c r="AC183" s="663" t="s">
        <v>553</v>
      </c>
      <c r="AD183" s="663"/>
      <c r="AE183" s="663"/>
      <c r="AF183" s="663"/>
      <c r="AG183" s="663"/>
      <c r="AH183" s="572"/>
    </row>
    <row r="184" spans="1:55" ht="31.2" customHeight="1" x14ac:dyDescent="0.3">
      <c r="B184" s="523"/>
      <c r="C184" s="573" t="s">
        <v>10</v>
      </c>
      <c r="D184" s="574" t="s">
        <v>26</v>
      </c>
      <c r="E184" s="467" t="s">
        <v>552</v>
      </c>
      <c r="F184" s="256" t="s">
        <v>632</v>
      </c>
      <c r="G184" s="575" t="s">
        <v>10</v>
      </c>
      <c r="H184" s="575"/>
      <c r="I184" s="257" t="s">
        <v>551</v>
      </c>
      <c r="J184" s="576" t="s">
        <v>552</v>
      </c>
      <c r="K184" s="257" t="s">
        <v>632</v>
      </c>
      <c r="L184" s="257"/>
      <c r="M184" s="257" t="s">
        <v>551</v>
      </c>
      <c r="N184" s="576" t="s">
        <v>552</v>
      </c>
      <c r="O184" s="257" t="s">
        <v>632</v>
      </c>
      <c r="P184" s="257"/>
      <c r="Q184" s="257" t="s">
        <v>551</v>
      </c>
      <c r="R184" s="576" t="s">
        <v>552</v>
      </c>
      <c r="S184" s="257" t="s">
        <v>632</v>
      </c>
      <c r="T184" s="257"/>
      <c r="U184" s="257" t="s">
        <v>551</v>
      </c>
      <c r="V184" s="576" t="s">
        <v>552</v>
      </c>
      <c r="W184" s="257" t="s">
        <v>632</v>
      </c>
      <c r="X184" s="257"/>
      <c r="Y184" s="257" t="s">
        <v>551</v>
      </c>
      <c r="Z184" s="576" t="s">
        <v>552</v>
      </c>
      <c r="AA184" s="257" t="s">
        <v>632</v>
      </c>
      <c r="AB184" s="257"/>
      <c r="AC184" s="257" t="s">
        <v>551</v>
      </c>
      <c r="AD184" s="576" t="s">
        <v>552</v>
      </c>
      <c r="AE184" s="257" t="s">
        <v>632</v>
      </c>
      <c r="AF184" s="257"/>
      <c r="AG184" s="577" t="s">
        <v>10</v>
      </c>
      <c r="AH184" s="578"/>
    </row>
    <row r="185" spans="1:55" s="253" customFormat="1" ht="13.95" customHeight="1" x14ac:dyDescent="0.3">
      <c r="B185" s="495" t="s">
        <v>154</v>
      </c>
      <c r="C185" s="579">
        <f t="shared" ref="C185:C193" si="125">AG6</f>
        <v>8326</v>
      </c>
      <c r="D185" s="554">
        <f t="shared" ref="D185:D193" si="126">AH6</f>
        <v>79</v>
      </c>
      <c r="E185" s="580">
        <f t="shared" ref="E185:F187" si="127">E188+E191</f>
        <v>0</v>
      </c>
      <c r="F185" s="259">
        <f t="shared" si="127"/>
        <v>792</v>
      </c>
      <c r="G185" s="581">
        <f t="shared" ref="G185:G193" si="128">SUM(D185:F185)</f>
        <v>871</v>
      </c>
      <c r="H185" s="581"/>
      <c r="I185" s="260">
        <f t="shared" ref="I185:AA187" si="129">I188+I191</f>
        <v>55463.75</v>
      </c>
      <c r="J185" s="582">
        <f t="shared" si="129"/>
        <v>0</v>
      </c>
      <c r="K185" s="260">
        <f t="shared" si="129"/>
        <v>21216</v>
      </c>
      <c r="L185" s="260"/>
      <c r="M185" s="260">
        <f t="shared" si="129"/>
        <v>84183.25</v>
      </c>
      <c r="N185" s="582">
        <f t="shared" si="129"/>
        <v>0</v>
      </c>
      <c r="O185" s="260">
        <f t="shared" si="129"/>
        <v>16056</v>
      </c>
      <c r="P185" s="260"/>
      <c r="Q185" s="260">
        <f t="shared" si="129"/>
        <v>97463</v>
      </c>
      <c r="R185" s="582">
        <f t="shared" si="129"/>
        <v>0</v>
      </c>
      <c r="S185" s="260">
        <f t="shared" si="129"/>
        <v>26244</v>
      </c>
      <c r="T185" s="260"/>
      <c r="U185" s="260">
        <f t="shared" si="129"/>
        <v>94529</v>
      </c>
      <c r="V185" s="582">
        <f t="shared" si="129"/>
        <v>0</v>
      </c>
      <c r="W185" s="260">
        <f t="shared" si="129"/>
        <v>21777</v>
      </c>
      <c r="X185" s="260"/>
      <c r="Y185" s="260">
        <f t="shared" si="129"/>
        <v>90618.25</v>
      </c>
      <c r="Z185" s="582">
        <f t="shared" si="129"/>
        <v>0</v>
      </c>
      <c r="AA185" s="260">
        <f t="shared" si="129"/>
        <v>22072</v>
      </c>
      <c r="AB185" s="260"/>
      <c r="AC185" s="260">
        <f t="shared" ref="AC185:AE186" si="130">I185+M185+Q185+U185+Y185</f>
        <v>422257.25</v>
      </c>
      <c r="AD185" s="582">
        <f t="shared" si="130"/>
        <v>0</v>
      </c>
      <c r="AE185" s="260">
        <f t="shared" si="130"/>
        <v>107365</v>
      </c>
      <c r="AF185" s="260"/>
      <c r="AG185" s="583">
        <f>SUM(AC185:AE185)</f>
        <v>529622.25</v>
      </c>
      <c r="AH185" s="584"/>
    </row>
    <row r="186" spans="1:55" s="254" customFormat="1" ht="19.2" customHeight="1" x14ac:dyDescent="0.3">
      <c r="B186" s="585" t="str">
        <f t="shared" ref="B186:B193" si="131">B7</f>
        <v>Đào tạo văn bằng</v>
      </c>
      <c r="C186" s="586">
        <f t="shared" si="125"/>
        <v>2866</v>
      </c>
      <c r="D186" s="587">
        <f t="shared" si="126"/>
        <v>79</v>
      </c>
      <c r="E186" s="588">
        <f t="shared" si="127"/>
        <v>0</v>
      </c>
      <c r="F186" s="263">
        <f t="shared" si="127"/>
        <v>792</v>
      </c>
      <c r="G186" s="589">
        <f t="shared" si="128"/>
        <v>871</v>
      </c>
      <c r="H186" s="589"/>
      <c r="I186" s="263">
        <f t="shared" si="129"/>
        <v>52055.75</v>
      </c>
      <c r="J186" s="588">
        <f t="shared" si="129"/>
        <v>0</v>
      </c>
      <c r="K186" s="263">
        <f t="shared" si="129"/>
        <v>11055</v>
      </c>
      <c r="L186" s="263"/>
      <c r="M186" s="263">
        <f t="shared" si="129"/>
        <v>80835.25</v>
      </c>
      <c r="N186" s="588">
        <f t="shared" si="129"/>
        <v>0</v>
      </c>
      <c r="O186" s="263">
        <f t="shared" si="129"/>
        <v>6093</v>
      </c>
      <c r="P186" s="263"/>
      <c r="Q186" s="263">
        <f t="shared" si="129"/>
        <v>94295</v>
      </c>
      <c r="R186" s="588">
        <f t="shared" si="129"/>
        <v>0</v>
      </c>
      <c r="S186" s="263">
        <f t="shared" si="129"/>
        <v>16794</v>
      </c>
      <c r="T186" s="263"/>
      <c r="U186" s="263">
        <f t="shared" si="129"/>
        <v>91289</v>
      </c>
      <c r="V186" s="588">
        <f t="shared" si="129"/>
        <v>0</v>
      </c>
      <c r="W186" s="263">
        <f t="shared" si="129"/>
        <v>12129</v>
      </c>
      <c r="X186" s="263"/>
      <c r="Y186" s="263">
        <f t="shared" si="129"/>
        <v>87402.25</v>
      </c>
      <c r="Z186" s="588">
        <f t="shared" si="129"/>
        <v>0</v>
      </c>
      <c r="AA186" s="263">
        <f t="shared" si="129"/>
        <v>12487</v>
      </c>
      <c r="AB186" s="263"/>
      <c r="AC186" s="263">
        <f t="shared" si="130"/>
        <v>405877.25</v>
      </c>
      <c r="AD186" s="588">
        <f t="shared" si="130"/>
        <v>0</v>
      </c>
      <c r="AE186" s="263">
        <f t="shared" si="130"/>
        <v>58558</v>
      </c>
      <c r="AF186" s="263"/>
      <c r="AG186" s="587">
        <f t="shared" ref="AG186:AG192" si="132">SUM(AC186:AE186)</f>
        <v>464435.25</v>
      </c>
      <c r="AH186" s="590"/>
    </row>
    <row r="187" spans="1:55" ht="13.95" customHeight="1" x14ac:dyDescent="0.3">
      <c r="B187" s="484" t="str">
        <f t="shared" si="131"/>
        <v>Đào tạo chứng chỉ</v>
      </c>
      <c r="C187" s="591">
        <f t="shared" si="125"/>
        <v>5460</v>
      </c>
      <c r="D187" s="592">
        <f t="shared" si="126"/>
        <v>0</v>
      </c>
      <c r="E187" s="593">
        <f t="shared" si="127"/>
        <v>0</v>
      </c>
      <c r="F187" s="264">
        <f t="shared" si="127"/>
        <v>0</v>
      </c>
      <c r="G187" s="594">
        <f t="shared" si="128"/>
        <v>0</v>
      </c>
      <c r="H187" s="594"/>
      <c r="I187" s="265">
        <f>I190+I193</f>
        <v>3408</v>
      </c>
      <c r="J187" s="595">
        <f t="shared" si="129"/>
        <v>0</v>
      </c>
      <c r="K187" s="265">
        <f t="shared" si="129"/>
        <v>10161</v>
      </c>
      <c r="L187" s="265"/>
      <c r="M187" s="265">
        <f t="shared" si="129"/>
        <v>3348</v>
      </c>
      <c r="N187" s="595">
        <f t="shared" si="129"/>
        <v>0</v>
      </c>
      <c r="O187" s="265">
        <f t="shared" si="129"/>
        <v>9963</v>
      </c>
      <c r="P187" s="265"/>
      <c r="Q187" s="265">
        <f t="shared" si="129"/>
        <v>3168</v>
      </c>
      <c r="R187" s="595">
        <f t="shared" si="129"/>
        <v>0</v>
      </c>
      <c r="S187" s="265">
        <f t="shared" si="129"/>
        <v>9450</v>
      </c>
      <c r="T187" s="265"/>
      <c r="U187" s="265">
        <f t="shared" si="129"/>
        <v>3240</v>
      </c>
      <c r="V187" s="595">
        <f t="shared" si="129"/>
        <v>0</v>
      </c>
      <c r="W187" s="265">
        <f t="shared" si="129"/>
        <v>9648</v>
      </c>
      <c r="X187" s="265"/>
      <c r="Y187" s="265">
        <f t="shared" si="129"/>
        <v>3216</v>
      </c>
      <c r="Z187" s="595">
        <f t="shared" si="129"/>
        <v>0</v>
      </c>
      <c r="AA187" s="265">
        <f t="shared" si="129"/>
        <v>9585</v>
      </c>
      <c r="AB187" s="265"/>
      <c r="AC187" s="265">
        <f t="shared" ref="AC187:AC193" si="133">I187+M187+Q187+U187+Y187</f>
        <v>16380</v>
      </c>
      <c r="AD187" s="595">
        <f t="shared" ref="AD187:AE193" si="134">J187+N187+R187+V187+Z187</f>
        <v>0</v>
      </c>
      <c r="AE187" s="265">
        <f t="shared" si="134"/>
        <v>48807</v>
      </c>
      <c r="AF187" s="265"/>
      <c r="AG187" s="596">
        <f t="shared" si="132"/>
        <v>65187</v>
      </c>
      <c r="AH187" s="597"/>
    </row>
    <row r="188" spans="1:55" ht="22.8" x14ac:dyDescent="0.3">
      <c r="B188" s="495" t="str">
        <f t="shared" si="131"/>
        <v>Tổng cộng (đơn vị  tự chủ nhóm 1,2)</v>
      </c>
      <c r="C188" s="579">
        <f t="shared" si="125"/>
        <v>1610</v>
      </c>
      <c r="D188" s="554">
        <f t="shared" si="126"/>
        <v>0</v>
      </c>
      <c r="E188" s="580">
        <f>E189+E190</f>
        <v>0</v>
      </c>
      <c r="F188" s="259">
        <f>F189+F190</f>
        <v>0</v>
      </c>
      <c r="G188" s="581">
        <f t="shared" si="128"/>
        <v>0</v>
      </c>
      <c r="H188" s="581"/>
      <c r="I188" s="260">
        <f t="shared" ref="I188:AA188" si="135">I189+I190</f>
        <v>20228.25</v>
      </c>
      <c r="J188" s="582">
        <f t="shared" si="135"/>
        <v>0</v>
      </c>
      <c r="K188" s="260">
        <f t="shared" si="135"/>
        <v>0</v>
      </c>
      <c r="L188" s="260"/>
      <c r="M188" s="260">
        <f t="shared" si="135"/>
        <v>38641.5</v>
      </c>
      <c r="N188" s="582">
        <f t="shared" si="135"/>
        <v>0</v>
      </c>
      <c r="O188" s="260">
        <f t="shared" si="135"/>
        <v>0</v>
      </c>
      <c r="P188" s="260"/>
      <c r="Q188" s="260">
        <f t="shared" si="135"/>
        <v>49673.25</v>
      </c>
      <c r="R188" s="582">
        <f t="shared" si="135"/>
        <v>0</v>
      </c>
      <c r="S188" s="260">
        <f t="shared" si="135"/>
        <v>0</v>
      </c>
      <c r="T188" s="260"/>
      <c r="U188" s="260">
        <f t="shared" si="135"/>
        <v>50880.25</v>
      </c>
      <c r="V188" s="582">
        <f t="shared" si="135"/>
        <v>0</v>
      </c>
      <c r="W188" s="260">
        <f t="shared" si="135"/>
        <v>0</v>
      </c>
      <c r="X188" s="260"/>
      <c r="Y188" s="260">
        <f t="shared" si="135"/>
        <v>51183.75</v>
      </c>
      <c r="Z188" s="582">
        <f t="shared" si="135"/>
        <v>0</v>
      </c>
      <c r="AA188" s="260">
        <f t="shared" si="135"/>
        <v>0</v>
      </c>
      <c r="AB188" s="260"/>
      <c r="AC188" s="260">
        <f t="shared" si="133"/>
        <v>210607</v>
      </c>
      <c r="AD188" s="582">
        <f t="shared" si="134"/>
        <v>0</v>
      </c>
      <c r="AE188" s="260">
        <f t="shared" si="134"/>
        <v>0</v>
      </c>
      <c r="AF188" s="260"/>
      <c r="AG188" s="598">
        <f t="shared" si="132"/>
        <v>210607</v>
      </c>
      <c r="AH188" s="599"/>
    </row>
    <row r="189" spans="1:55" ht="13.95" customHeight="1" x14ac:dyDescent="0.3">
      <c r="B189" s="484" t="str">
        <f t="shared" si="131"/>
        <v>Đào tạo văn bằng</v>
      </c>
      <c r="C189" s="591">
        <f t="shared" si="125"/>
        <v>1573</v>
      </c>
      <c r="D189" s="592">
        <f t="shared" si="126"/>
        <v>0</v>
      </c>
      <c r="E189" s="593"/>
      <c r="F189" s="264"/>
      <c r="G189" s="594">
        <f t="shared" si="128"/>
        <v>0</v>
      </c>
      <c r="H189" s="594"/>
      <c r="I189" s="265">
        <f>M10</f>
        <v>20207.25</v>
      </c>
      <c r="J189" s="600"/>
      <c r="K189" s="266"/>
      <c r="L189" s="265"/>
      <c r="M189" s="265">
        <f>Q10</f>
        <v>38614.5</v>
      </c>
      <c r="N189" s="600"/>
      <c r="O189" s="266"/>
      <c r="P189" s="265"/>
      <c r="Q189" s="265">
        <f>U10</f>
        <v>49655.25</v>
      </c>
      <c r="R189" s="600"/>
      <c r="S189" s="266"/>
      <c r="T189" s="265"/>
      <c r="U189" s="265">
        <f>Y10</f>
        <v>50856.25</v>
      </c>
      <c r="V189" s="600"/>
      <c r="W189" s="266"/>
      <c r="X189" s="265"/>
      <c r="Y189" s="265">
        <f>AC10</f>
        <v>51162.75</v>
      </c>
      <c r="Z189" s="600"/>
      <c r="AA189" s="266"/>
      <c r="AB189" s="265"/>
      <c r="AC189" s="265">
        <f t="shared" si="133"/>
        <v>210496</v>
      </c>
      <c r="AD189" s="595">
        <f t="shared" si="134"/>
        <v>0</v>
      </c>
      <c r="AE189" s="265">
        <f t="shared" si="134"/>
        <v>0</v>
      </c>
      <c r="AF189" s="265"/>
      <c r="AG189" s="596">
        <f t="shared" si="132"/>
        <v>210496</v>
      </c>
      <c r="AH189" s="597"/>
    </row>
    <row r="190" spans="1:55" ht="13.95" customHeight="1" x14ac:dyDescent="0.3">
      <c r="B190" s="484" t="str">
        <f t="shared" si="131"/>
        <v>Đào tạo chứng chỉ</v>
      </c>
      <c r="C190" s="591">
        <f t="shared" si="125"/>
        <v>37</v>
      </c>
      <c r="D190" s="592">
        <f t="shared" si="126"/>
        <v>0</v>
      </c>
      <c r="E190" s="593"/>
      <c r="F190" s="264"/>
      <c r="G190" s="594">
        <f t="shared" si="128"/>
        <v>0</v>
      </c>
      <c r="H190" s="594"/>
      <c r="I190" s="265">
        <f>M11</f>
        <v>21</v>
      </c>
      <c r="J190" s="595">
        <f t="shared" ref="J190:K193" si="136">N11</f>
        <v>0</v>
      </c>
      <c r="K190" s="265">
        <f t="shared" si="136"/>
        <v>0</v>
      </c>
      <c r="L190" s="265"/>
      <c r="M190" s="265">
        <f>Q11</f>
        <v>27</v>
      </c>
      <c r="N190" s="595">
        <f t="shared" ref="N190:O193" si="137">R11</f>
        <v>0</v>
      </c>
      <c r="O190" s="265">
        <f t="shared" si="137"/>
        <v>0</v>
      </c>
      <c r="P190" s="265"/>
      <c r="Q190" s="265">
        <f>U11</f>
        <v>18</v>
      </c>
      <c r="R190" s="595">
        <f t="shared" ref="R190:S193" si="138">V11</f>
        <v>0</v>
      </c>
      <c r="S190" s="265">
        <f t="shared" si="138"/>
        <v>0</v>
      </c>
      <c r="T190" s="265"/>
      <c r="U190" s="265">
        <f>Y11</f>
        <v>24</v>
      </c>
      <c r="V190" s="595">
        <f t="shared" ref="V190:W193" si="139">Z11</f>
        <v>0</v>
      </c>
      <c r="W190" s="265">
        <f t="shared" si="139"/>
        <v>0</v>
      </c>
      <c r="X190" s="265"/>
      <c r="Y190" s="265">
        <f>AC11</f>
        <v>21</v>
      </c>
      <c r="Z190" s="595">
        <f t="shared" ref="Z190:AA193" si="140">AD11</f>
        <v>0</v>
      </c>
      <c r="AA190" s="265">
        <f t="shared" si="140"/>
        <v>0</v>
      </c>
      <c r="AB190" s="265"/>
      <c r="AC190" s="265">
        <f t="shared" si="133"/>
        <v>111</v>
      </c>
      <c r="AD190" s="595">
        <f t="shared" si="134"/>
        <v>0</v>
      </c>
      <c r="AE190" s="265">
        <f t="shared" si="134"/>
        <v>0</v>
      </c>
      <c r="AF190" s="265"/>
      <c r="AG190" s="596">
        <f t="shared" si="132"/>
        <v>111</v>
      </c>
      <c r="AH190" s="597"/>
    </row>
    <row r="191" spans="1:55" ht="22.8" x14ac:dyDescent="0.3">
      <c r="B191" s="495" t="str">
        <f t="shared" si="131"/>
        <v>Tổng cộng (đơn vị  tự chủ nhóm 3,4)</v>
      </c>
      <c r="C191" s="579">
        <f t="shared" si="125"/>
        <v>6716</v>
      </c>
      <c r="D191" s="554">
        <f t="shared" si="126"/>
        <v>79</v>
      </c>
      <c r="E191" s="580">
        <f t="shared" ref="E191:F193" si="141">J12</f>
        <v>0</v>
      </c>
      <c r="F191" s="259">
        <f t="shared" si="141"/>
        <v>792</v>
      </c>
      <c r="G191" s="581">
        <f t="shared" si="128"/>
        <v>871</v>
      </c>
      <c r="H191" s="581"/>
      <c r="I191" s="260">
        <f>M12</f>
        <v>35235.5</v>
      </c>
      <c r="J191" s="582">
        <f t="shared" si="136"/>
        <v>0</v>
      </c>
      <c r="K191" s="260">
        <f t="shared" si="136"/>
        <v>21216</v>
      </c>
      <c r="L191" s="260"/>
      <c r="M191" s="260">
        <f>Q12</f>
        <v>45541.75</v>
      </c>
      <c r="N191" s="582">
        <f t="shared" si="137"/>
        <v>0</v>
      </c>
      <c r="O191" s="260">
        <f t="shared" si="137"/>
        <v>16056</v>
      </c>
      <c r="P191" s="260"/>
      <c r="Q191" s="260">
        <f>U12</f>
        <v>47789.75</v>
      </c>
      <c r="R191" s="582">
        <f t="shared" si="138"/>
        <v>0</v>
      </c>
      <c r="S191" s="260">
        <f t="shared" si="138"/>
        <v>26244</v>
      </c>
      <c r="T191" s="260"/>
      <c r="U191" s="260">
        <f>Y12</f>
        <v>43648.75</v>
      </c>
      <c r="V191" s="582">
        <f t="shared" si="139"/>
        <v>0</v>
      </c>
      <c r="W191" s="260">
        <f t="shared" si="139"/>
        <v>21777</v>
      </c>
      <c r="X191" s="260"/>
      <c r="Y191" s="260">
        <f>AC12</f>
        <v>39434.5</v>
      </c>
      <c r="Z191" s="582">
        <f t="shared" si="140"/>
        <v>0</v>
      </c>
      <c r="AA191" s="260">
        <f t="shared" si="140"/>
        <v>22072</v>
      </c>
      <c r="AB191" s="260"/>
      <c r="AC191" s="260">
        <f>I191+M191+Q191+U191+Y191</f>
        <v>211650.25</v>
      </c>
      <c r="AD191" s="582">
        <f t="shared" si="134"/>
        <v>0</v>
      </c>
      <c r="AE191" s="260">
        <f t="shared" si="134"/>
        <v>107365</v>
      </c>
      <c r="AF191" s="260"/>
      <c r="AG191" s="598">
        <f t="shared" si="132"/>
        <v>319015.25</v>
      </c>
      <c r="AH191" s="599"/>
    </row>
    <row r="192" spans="1:55" ht="13.95" customHeight="1" x14ac:dyDescent="0.3">
      <c r="B192" s="484" t="str">
        <f t="shared" si="131"/>
        <v>Đào tạo văn bằng</v>
      </c>
      <c r="C192" s="591">
        <f t="shared" si="125"/>
        <v>1293</v>
      </c>
      <c r="D192" s="592">
        <f t="shared" si="126"/>
        <v>79</v>
      </c>
      <c r="E192" s="593">
        <f t="shared" si="141"/>
        <v>0</v>
      </c>
      <c r="F192" s="264">
        <f t="shared" si="141"/>
        <v>792</v>
      </c>
      <c r="G192" s="594">
        <f t="shared" si="128"/>
        <v>871</v>
      </c>
      <c r="H192" s="594"/>
      <c r="I192" s="265">
        <f>M13</f>
        <v>31848.5</v>
      </c>
      <c r="J192" s="595">
        <f t="shared" si="136"/>
        <v>0</v>
      </c>
      <c r="K192" s="265">
        <f t="shared" si="136"/>
        <v>11055</v>
      </c>
      <c r="L192" s="265"/>
      <c r="M192" s="265">
        <f>Q13</f>
        <v>42220.75</v>
      </c>
      <c r="N192" s="595">
        <f t="shared" si="137"/>
        <v>0</v>
      </c>
      <c r="O192" s="265">
        <f t="shared" si="137"/>
        <v>6093</v>
      </c>
      <c r="P192" s="265"/>
      <c r="Q192" s="265">
        <f>U13</f>
        <v>44639.75</v>
      </c>
      <c r="R192" s="595">
        <f t="shared" si="138"/>
        <v>0</v>
      </c>
      <c r="S192" s="265">
        <f t="shared" si="138"/>
        <v>16794</v>
      </c>
      <c r="T192" s="265"/>
      <c r="U192" s="265">
        <f>Y13</f>
        <v>40432.75</v>
      </c>
      <c r="V192" s="595">
        <f t="shared" si="139"/>
        <v>0</v>
      </c>
      <c r="W192" s="265">
        <f t="shared" si="139"/>
        <v>12129</v>
      </c>
      <c r="X192" s="265"/>
      <c r="Y192" s="265">
        <f>AC13</f>
        <v>36239.5</v>
      </c>
      <c r="Z192" s="595">
        <f t="shared" si="140"/>
        <v>0</v>
      </c>
      <c r="AA192" s="265">
        <f t="shared" si="140"/>
        <v>12487</v>
      </c>
      <c r="AB192" s="265"/>
      <c r="AC192" s="265">
        <f t="shared" si="133"/>
        <v>195381.25</v>
      </c>
      <c r="AD192" s="595">
        <f t="shared" si="134"/>
        <v>0</v>
      </c>
      <c r="AE192" s="265">
        <f t="shared" si="134"/>
        <v>58558</v>
      </c>
      <c r="AF192" s="265"/>
      <c r="AG192" s="596">
        <f t="shared" si="132"/>
        <v>253939.25</v>
      </c>
      <c r="AH192" s="597"/>
    </row>
    <row r="193" spans="2:34" ht="13.95" customHeight="1" x14ac:dyDescent="0.3">
      <c r="B193" s="484" t="str">
        <f t="shared" si="131"/>
        <v>Đào tạo chứng chỉ</v>
      </c>
      <c r="C193" s="591">
        <f t="shared" si="125"/>
        <v>5423</v>
      </c>
      <c r="D193" s="592">
        <f t="shared" si="126"/>
        <v>0</v>
      </c>
      <c r="E193" s="593">
        <f t="shared" si="141"/>
        <v>0</v>
      </c>
      <c r="F193" s="264">
        <f t="shared" si="141"/>
        <v>0</v>
      </c>
      <c r="G193" s="594">
        <f t="shared" si="128"/>
        <v>0</v>
      </c>
      <c r="H193" s="594"/>
      <c r="I193" s="265">
        <f>M14</f>
        <v>3387</v>
      </c>
      <c r="J193" s="595">
        <f t="shared" si="136"/>
        <v>0</v>
      </c>
      <c r="K193" s="265">
        <f t="shared" si="136"/>
        <v>10161</v>
      </c>
      <c r="L193" s="265"/>
      <c r="M193" s="265">
        <f>Q14</f>
        <v>3321</v>
      </c>
      <c r="N193" s="595">
        <f t="shared" si="137"/>
        <v>0</v>
      </c>
      <c r="O193" s="265">
        <f t="shared" si="137"/>
        <v>9963</v>
      </c>
      <c r="P193" s="265"/>
      <c r="Q193" s="265">
        <f>U14</f>
        <v>3150</v>
      </c>
      <c r="R193" s="595">
        <f t="shared" si="138"/>
        <v>0</v>
      </c>
      <c r="S193" s="265">
        <f t="shared" si="138"/>
        <v>9450</v>
      </c>
      <c r="T193" s="265"/>
      <c r="U193" s="265">
        <f>Y14</f>
        <v>3216</v>
      </c>
      <c r="V193" s="595">
        <f t="shared" si="139"/>
        <v>0</v>
      </c>
      <c r="W193" s="265">
        <f t="shared" si="139"/>
        <v>9648</v>
      </c>
      <c r="X193" s="265"/>
      <c r="Y193" s="265">
        <f>AC14</f>
        <v>3195</v>
      </c>
      <c r="Z193" s="595">
        <f t="shared" si="140"/>
        <v>0</v>
      </c>
      <c r="AA193" s="265">
        <f t="shared" si="140"/>
        <v>9585</v>
      </c>
      <c r="AB193" s="265"/>
      <c r="AC193" s="265">
        <f t="shared" si="133"/>
        <v>16269</v>
      </c>
      <c r="AD193" s="595">
        <f t="shared" si="134"/>
        <v>0</v>
      </c>
      <c r="AE193" s="265">
        <f t="shared" si="134"/>
        <v>48807</v>
      </c>
      <c r="AF193" s="265"/>
      <c r="AG193" s="596">
        <f>SUM(AC193:AE193)</f>
        <v>65076</v>
      </c>
      <c r="AH193" s="597"/>
    </row>
    <row r="194" spans="2:34" ht="13.95" customHeight="1" x14ac:dyDescent="0.3">
      <c r="C194" s="601"/>
      <c r="D194" s="601"/>
      <c r="F194" s="602"/>
      <c r="J194" s="569"/>
      <c r="N194" s="569"/>
      <c r="R194" s="569"/>
      <c r="V194" s="569"/>
      <c r="Z194" s="569"/>
      <c r="AD194" s="569"/>
    </row>
    <row r="195" spans="2:34" ht="15.9" customHeight="1" x14ac:dyDescent="0.3">
      <c r="B195" s="495" t="s">
        <v>554</v>
      </c>
      <c r="C195" s="583">
        <f t="shared" ref="C195:D195" si="142">C196+C197</f>
        <v>79</v>
      </c>
      <c r="D195" s="583">
        <f t="shared" si="142"/>
        <v>0</v>
      </c>
      <c r="E195" s="580"/>
      <c r="F195" s="259"/>
      <c r="G195" s="581"/>
      <c r="H195" s="581"/>
      <c r="I195" s="260">
        <f>I196+I197</f>
        <v>918.75</v>
      </c>
      <c r="J195" s="260">
        <f t="shared" ref="J195:AG195" si="143">J196+J197</f>
        <v>24</v>
      </c>
      <c r="K195" s="260">
        <f t="shared" si="143"/>
        <v>0</v>
      </c>
      <c r="L195" s="260"/>
      <c r="M195" s="260">
        <f t="shared" si="143"/>
        <v>2406.25</v>
      </c>
      <c r="N195" s="260">
        <f t="shared" si="143"/>
        <v>72</v>
      </c>
      <c r="O195" s="260">
        <f t="shared" si="143"/>
        <v>0</v>
      </c>
      <c r="P195" s="260"/>
      <c r="Q195" s="260">
        <f t="shared" si="143"/>
        <v>3675</v>
      </c>
      <c r="R195" s="260">
        <f t="shared" si="143"/>
        <v>96</v>
      </c>
      <c r="S195" s="260">
        <f t="shared" si="143"/>
        <v>0</v>
      </c>
      <c r="T195" s="260"/>
      <c r="U195" s="260">
        <f t="shared" si="143"/>
        <v>4900</v>
      </c>
      <c r="V195" s="260">
        <f t="shared" si="143"/>
        <v>120</v>
      </c>
      <c r="W195" s="260">
        <f t="shared" si="143"/>
        <v>0</v>
      </c>
      <c r="X195" s="260"/>
      <c r="Y195" s="260">
        <f t="shared" si="143"/>
        <v>5512.5</v>
      </c>
      <c r="Z195" s="260">
        <f t="shared" si="143"/>
        <v>120</v>
      </c>
      <c r="AA195" s="260">
        <f t="shared" si="143"/>
        <v>100</v>
      </c>
      <c r="AB195" s="260"/>
      <c r="AC195" s="260">
        <f t="shared" si="143"/>
        <v>17412.5</v>
      </c>
      <c r="AD195" s="260">
        <f t="shared" si="143"/>
        <v>432</v>
      </c>
      <c r="AE195" s="260">
        <f t="shared" si="143"/>
        <v>100</v>
      </c>
      <c r="AF195" s="260"/>
      <c r="AG195" s="260">
        <f t="shared" si="143"/>
        <v>17944.5</v>
      </c>
      <c r="AH195" s="603"/>
    </row>
    <row r="196" spans="2:34" s="267" customFormat="1" ht="15.9" customHeight="1" x14ac:dyDescent="0.3">
      <c r="B196" s="604" t="s">
        <v>555</v>
      </c>
      <c r="C196" s="605">
        <f>AG73</f>
        <v>76</v>
      </c>
      <c r="D196" s="605">
        <f>AH73</f>
        <v>0</v>
      </c>
      <c r="E196" s="606"/>
      <c r="F196" s="607"/>
      <c r="G196" s="608"/>
      <c r="H196" s="608"/>
      <c r="I196" s="609">
        <f>M73</f>
        <v>875</v>
      </c>
      <c r="J196" s="610"/>
      <c r="K196" s="609"/>
      <c r="L196" s="609"/>
      <c r="M196" s="609">
        <f>Q73</f>
        <v>2275</v>
      </c>
      <c r="N196" s="610"/>
      <c r="O196" s="609"/>
      <c r="P196" s="609"/>
      <c r="Q196" s="609">
        <f>U73</f>
        <v>3500</v>
      </c>
      <c r="R196" s="610"/>
      <c r="S196" s="609"/>
      <c r="T196" s="609"/>
      <c r="U196" s="609">
        <f>Y73</f>
        <v>4681.25</v>
      </c>
      <c r="V196" s="610"/>
      <c r="W196" s="609"/>
      <c r="X196" s="609"/>
      <c r="Y196" s="609">
        <f>AC73</f>
        <v>5293.75</v>
      </c>
      <c r="Z196" s="610"/>
      <c r="AA196" s="609"/>
      <c r="AB196" s="609"/>
      <c r="AC196" s="609">
        <f>I196+M196+Q196+U196+Y196</f>
        <v>16625</v>
      </c>
      <c r="AD196" s="609">
        <f>J196+N196+R196+V196+Z196</f>
        <v>0</v>
      </c>
      <c r="AE196" s="609">
        <f>K196+O196+S196+W196+AA196</f>
        <v>0</v>
      </c>
      <c r="AF196" s="609"/>
      <c r="AG196" s="611">
        <f>SUM(AC196:AE196)</f>
        <v>16625</v>
      </c>
      <c r="AH196" s="612"/>
    </row>
    <row r="197" spans="2:34" s="267" customFormat="1" ht="15.9" customHeight="1" x14ac:dyDescent="0.3">
      <c r="B197" s="604" t="s">
        <v>550</v>
      </c>
      <c r="C197" s="605">
        <f>AG127</f>
        <v>3</v>
      </c>
      <c r="D197" s="605">
        <f>AH127</f>
        <v>0</v>
      </c>
      <c r="E197" s="606"/>
      <c r="F197" s="607"/>
      <c r="G197" s="608"/>
      <c r="H197" s="608"/>
      <c r="I197" s="609">
        <f>M127</f>
        <v>43.75</v>
      </c>
      <c r="J197" s="610">
        <f>N127</f>
        <v>24</v>
      </c>
      <c r="K197" s="609">
        <f>O127</f>
        <v>0</v>
      </c>
      <c r="L197" s="609"/>
      <c r="M197" s="609">
        <f>Q127</f>
        <v>131.25</v>
      </c>
      <c r="N197" s="610">
        <f>R127</f>
        <v>72</v>
      </c>
      <c r="O197" s="609">
        <f>S127</f>
        <v>0</v>
      </c>
      <c r="P197" s="609"/>
      <c r="Q197" s="609">
        <f>U127</f>
        <v>175</v>
      </c>
      <c r="R197" s="610">
        <f>V127</f>
        <v>96</v>
      </c>
      <c r="S197" s="609">
        <f>W127</f>
        <v>0</v>
      </c>
      <c r="T197" s="609"/>
      <c r="U197" s="609">
        <f>Y127</f>
        <v>218.75</v>
      </c>
      <c r="V197" s="610">
        <f>Z127</f>
        <v>120</v>
      </c>
      <c r="W197" s="609">
        <f>AA127</f>
        <v>0</v>
      </c>
      <c r="X197" s="609"/>
      <c r="Y197" s="609">
        <f t="shared" ref="Y197:AA197" si="144">AC127</f>
        <v>218.75</v>
      </c>
      <c r="Z197" s="610">
        <f t="shared" si="144"/>
        <v>120</v>
      </c>
      <c r="AA197" s="609">
        <f t="shared" si="144"/>
        <v>100</v>
      </c>
      <c r="AB197" s="609"/>
      <c r="AC197" s="609">
        <f t="shared" ref="AC197" si="145">I197+M197+Q197+U197+Y197</f>
        <v>787.5</v>
      </c>
      <c r="AD197" s="610">
        <f>J197+N197+R197+V197+Z197</f>
        <v>432</v>
      </c>
      <c r="AE197" s="609">
        <f>K197+O197+S197+W197+AA197</f>
        <v>100</v>
      </c>
      <c r="AF197" s="609"/>
      <c r="AG197" s="611">
        <f t="shared" ref="AG197:AG209" si="146">SUM(AC197:AE197)</f>
        <v>1319.5</v>
      </c>
      <c r="AH197" s="612"/>
    </row>
    <row r="198" spans="2:34" ht="15.9" customHeight="1" x14ac:dyDescent="0.3">
      <c r="B198" s="495" t="s">
        <v>556</v>
      </c>
      <c r="C198" s="583">
        <f t="shared" ref="C198:D198" si="147">C199+C200</f>
        <v>759</v>
      </c>
      <c r="D198" s="583">
        <f t="shared" si="147"/>
        <v>14</v>
      </c>
      <c r="E198" s="580"/>
      <c r="F198" s="259"/>
      <c r="G198" s="581"/>
      <c r="H198" s="581"/>
      <c r="I198" s="260">
        <f t="shared" ref="I198:AG198" si="148">I199+I200</f>
        <v>10325</v>
      </c>
      <c r="J198" s="260">
        <f t="shared" si="148"/>
        <v>1848</v>
      </c>
      <c r="K198" s="260">
        <f t="shared" si="148"/>
        <v>576</v>
      </c>
      <c r="L198" s="260"/>
      <c r="M198" s="260">
        <f t="shared" si="148"/>
        <v>21700</v>
      </c>
      <c r="N198" s="260">
        <f t="shared" si="148"/>
        <v>3216</v>
      </c>
      <c r="O198" s="260">
        <f t="shared" si="148"/>
        <v>936</v>
      </c>
      <c r="P198" s="260"/>
      <c r="Q198" s="260">
        <f t="shared" si="148"/>
        <v>27300</v>
      </c>
      <c r="R198" s="260">
        <f t="shared" si="148"/>
        <v>3384</v>
      </c>
      <c r="S198" s="260">
        <f t="shared" si="148"/>
        <v>3348</v>
      </c>
      <c r="T198" s="260"/>
      <c r="U198" s="260">
        <f t="shared" si="148"/>
        <v>26775</v>
      </c>
      <c r="V198" s="260">
        <f t="shared" si="148"/>
        <v>2880</v>
      </c>
      <c r="W198" s="260">
        <f t="shared" si="148"/>
        <v>2376</v>
      </c>
      <c r="X198" s="260"/>
      <c r="Y198" s="260">
        <f t="shared" si="148"/>
        <v>25943.75</v>
      </c>
      <c r="Z198" s="260">
        <f t="shared" si="148"/>
        <v>2424</v>
      </c>
      <c r="AA198" s="260">
        <f t="shared" si="148"/>
        <v>2412</v>
      </c>
      <c r="AB198" s="260"/>
      <c r="AC198" s="260">
        <f t="shared" si="148"/>
        <v>25943.75</v>
      </c>
      <c r="AD198" s="260">
        <f t="shared" si="148"/>
        <v>14232</v>
      </c>
      <c r="AE198" s="260">
        <f t="shared" si="148"/>
        <v>11196</v>
      </c>
      <c r="AF198" s="260"/>
      <c r="AG198" s="260">
        <f t="shared" si="148"/>
        <v>51371.75</v>
      </c>
      <c r="AH198" s="603"/>
    </row>
    <row r="199" spans="2:34" s="267" customFormat="1" ht="15.9" customHeight="1" x14ac:dyDescent="0.3">
      <c r="B199" s="604" t="s">
        <v>555</v>
      </c>
      <c r="C199" s="605">
        <f>+AG82</f>
        <v>605</v>
      </c>
      <c r="D199" s="605">
        <f>+AH82</f>
        <v>0</v>
      </c>
      <c r="E199" s="606"/>
      <c r="F199" s="607"/>
      <c r="G199" s="608"/>
      <c r="H199" s="608"/>
      <c r="I199" s="609">
        <f>M82</f>
        <v>6956.25</v>
      </c>
      <c r="J199" s="610"/>
      <c r="K199" s="609"/>
      <c r="L199" s="609"/>
      <c r="M199" s="609">
        <f>Q82</f>
        <v>15837.5</v>
      </c>
      <c r="N199" s="610"/>
      <c r="O199" s="609"/>
      <c r="P199" s="609"/>
      <c r="Q199" s="609">
        <f>U82</f>
        <v>21131.25</v>
      </c>
      <c r="R199" s="610"/>
      <c r="S199" s="609"/>
      <c r="T199" s="609"/>
      <c r="U199" s="609">
        <f>Y82</f>
        <v>21525</v>
      </c>
      <c r="V199" s="610"/>
      <c r="W199" s="609"/>
      <c r="X199" s="609"/>
      <c r="Y199" s="609">
        <f>AC82</f>
        <v>21525</v>
      </c>
      <c r="Z199" s="610"/>
      <c r="AA199" s="609"/>
      <c r="AB199" s="609"/>
      <c r="AC199" s="609">
        <f>AC82</f>
        <v>21525</v>
      </c>
      <c r="AD199" s="610">
        <f>AD82</f>
        <v>11808</v>
      </c>
      <c r="AE199" s="609">
        <f>AE82</f>
        <v>8784</v>
      </c>
      <c r="AF199" s="609"/>
      <c r="AG199" s="611">
        <f>SUM(AC199:AE199)</f>
        <v>42117</v>
      </c>
      <c r="AH199" s="612"/>
    </row>
    <row r="200" spans="2:34" s="267" customFormat="1" ht="15.9" customHeight="1" x14ac:dyDescent="0.3">
      <c r="B200" s="604" t="s">
        <v>550</v>
      </c>
      <c r="C200" s="605">
        <f>+AG136</f>
        <v>154</v>
      </c>
      <c r="D200" s="605">
        <f>+AH136</f>
        <v>14</v>
      </c>
      <c r="E200" s="606"/>
      <c r="F200" s="607"/>
      <c r="G200" s="608"/>
      <c r="H200" s="608"/>
      <c r="I200" s="609">
        <f>M136</f>
        <v>3368.75</v>
      </c>
      <c r="J200" s="610">
        <f>N136</f>
        <v>1848</v>
      </c>
      <c r="K200" s="609">
        <f>O136</f>
        <v>576</v>
      </c>
      <c r="L200" s="609"/>
      <c r="M200" s="609">
        <f>Q136</f>
        <v>5862.5</v>
      </c>
      <c r="N200" s="610">
        <f>R136</f>
        <v>3216</v>
      </c>
      <c r="O200" s="609">
        <f>S136</f>
        <v>936</v>
      </c>
      <c r="P200" s="609"/>
      <c r="Q200" s="609">
        <f>U136</f>
        <v>6168.75</v>
      </c>
      <c r="R200" s="610">
        <f>V136</f>
        <v>3384</v>
      </c>
      <c r="S200" s="609">
        <f>W136</f>
        <v>3348</v>
      </c>
      <c r="T200" s="609"/>
      <c r="U200" s="609">
        <f>Y136</f>
        <v>5250</v>
      </c>
      <c r="V200" s="610">
        <f>Z136</f>
        <v>2880</v>
      </c>
      <c r="W200" s="609">
        <f>AA136</f>
        <v>2376</v>
      </c>
      <c r="X200" s="609"/>
      <c r="Y200" s="609">
        <f t="shared" ref="Y200:AA200" si="149">AC136</f>
        <v>4418.75</v>
      </c>
      <c r="Z200" s="610">
        <f t="shared" si="149"/>
        <v>2424</v>
      </c>
      <c r="AA200" s="609">
        <f t="shared" si="149"/>
        <v>2412</v>
      </c>
      <c r="AB200" s="609"/>
      <c r="AC200" s="609">
        <f>AC136</f>
        <v>4418.75</v>
      </c>
      <c r="AD200" s="610">
        <f>AD136</f>
        <v>2424</v>
      </c>
      <c r="AE200" s="609">
        <f>AE136</f>
        <v>2412</v>
      </c>
      <c r="AF200" s="609"/>
      <c r="AG200" s="611">
        <f t="shared" si="146"/>
        <v>9254.75</v>
      </c>
      <c r="AH200" s="612"/>
    </row>
    <row r="201" spans="2:34" ht="15.9" customHeight="1" x14ac:dyDescent="0.3">
      <c r="B201" s="495" t="s">
        <v>31</v>
      </c>
      <c r="C201" s="583">
        <f t="shared" ref="C201:D201" si="150">C202+C203</f>
        <v>58</v>
      </c>
      <c r="D201" s="583">
        <f t="shared" si="150"/>
        <v>0</v>
      </c>
      <c r="E201" s="580"/>
      <c r="F201" s="259"/>
      <c r="G201" s="581"/>
      <c r="H201" s="581"/>
      <c r="I201" s="260">
        <f t="shared" ref="I201:AG201" si="151">I202+I203</f>
        <v>1836</v>
      </c>
      <c r="J201" s="260">
        <f t="shared" si="151"/>
        <v>552</v>
      </c>
      <c r="K201" s="260">
        <f t="shared" si="151"/>
        <v>315</v>
      </c>
      <c r="L201" s="260"/>
      <c r="M201" s="260">
        <f t="shared" si="151"/>
        <v>2176</v>
      </c>
      <c r="N201" s="260">
        <f t="shared" si="151"/>
        <v>456</v>
      </c>
      <c r="O201" s="260">
        <f t="shared" si="151"/>
        <v>252</v>
      </c>
      <c r="P201" s="260"/>
      <c r="Q201" s="260">
        <f t="shared" si="151"/>
        <v>2448</v>
      </c>
      <c r="R201" s="260">
        <f t="shared" si="151"/>
        <v>384</v>
      </c>
      <c r="S201" s="260">
        <f t="shared" si="151"/>
        <v>252</v>
      </c>
      <c r="T201" s="260"/>
      <c r="U201" s="260">
        <f t="shared" si="151"/>
        <v>2414</v>
      </c>
      <c r="V201" s="260">
        <f t="shared" si="151"/>
        <v>360</v>
      </c>
      <c r="W201" s="260">
        <f t="shared" si="151"/>
        <v>126</v>
      </c>
      <c r="X201" s="260"/>
      <c r="Y201" s="260">
        <f t="shared" si="151"/>
        <v>2108</v>
      </c>
      <c r="Z201" s="260">
        <f t="shared" si="151"/>
        <v>384</v>
      </c>
      <c r="AA201" s="260">
        <f t="shared" si="151"/>
        <v>189</v>
      </c>
      <c r="AB201" s="260"/>
      <c r="AC201" s="260">
        <f t="shared" si="151"/>
        <v>2108</v>
      </c>
      <c r="AD201" s="260">
        <f t="shared" si="151"/>
        <v>1488</v>
      </c>
      <c r="AE201" s="260">
        <f t="shared" si="151"/>
        <v>882</v>
      </c>
      <c r="AF201" s="260"/>
      <c r="AG201" s="260">
        <f t="shared" si="151"/>
        <v>4478</v>
      </c>
      <c r="AH201" s="603"/>
    </row>
    <row r="202" spans="2:34" s="267" customFormat="1" ht="15.9" customHeight="1" x14ac:dyDescent="0.3">
      <c r="B202" s="604" t="s">
        <v>555</v>
      </c>
      <c r="C202" s="605">
        <f>+AG91</f>
        <v>45</v>
      </c>
      <c r="D202" s="605">
        <f>+AH91</f>
        <v>0</v>
      </c>
      <c r="E202" s="606"/>
      <c r="F202" s="607"/>
      <c r="G202" s="608"/>
      <c r="H202" s="608"/>
      <c r="I202" s="609">
        <f>M91</f>
        <v>1054</v>
      </c>
      <c r="J202" s="610"/>
      <c r="K202" s="609"/>
      <c r="L202" s="609"/>
      <c r="M202" s="609">
        <f>Q91</f>
        <v>1530</v>
      </c>
      <c r="N202" s="610"/>
      <c r="O202" s="609"/>
      <c r="P202" s="609"/>
      <c r="Q202" s="609">
        <f>U91</f>
        <v>1904</v>
      </c>
      <c r="R202" s="610"/>
      <c r="S202" s="609"/>
      <c r="T202" s="609"/>
      <c r="U202" s="609">
        <f>Y91</f>
        <v>1904</v>
      </c>
      <c r="V202" s="610"/>
      <c r="W202" s="609"/>
      <c r="X202" s="609"/>
      <c r="Y202" s="609">
        <f>AC91</f>
        <v>1564</v>
      </c>
      <c r="Z202" s="610"/>
      <c r="AA202" s="609"/>
      <c r="AB202" s="609"/>
      <c r="AC202" s="609">
        <f>AC91</f>
        <v>1564</v>
      </c>
      <c r="AD202" s="610">
        <f>AD91</f>
        <v>1104</v>
      </c>
      <c r="AE202" s="609">
        <f>AE91</f>
        <v>693</v>
      </c>
      <c r="AF202" s="609"/>
      <c r="AG202" s="611">
        <f>SUM(AC202:AE202)</f>
        <v>3361</v>
      </c>
      <c r="AH202" s="612"/>
    </row>
    <row r="203" spans="2:34" s="267" customFormat="1" ht="15.9" customHeight="1" x14ac:dyDescent="0.3">
      <c r="B203" s="604" t="s">
        <v>550</v>
      </c>
      <c r="C203" s="605">
        <f>+AG145</f>
        <v>13</v>
      </c>
      <c r="D203" s="605">
        <f>+AH145</f>
        <v>0</v>
      </c>
      <c r="E203" s="606"/>
      <c r="F203" s="607"/>
      <c r="G203" s="608"/>
      <c r="H203" s="608"/>
      <c r="I203" s="609">
        <f>M145</f>
        <v>782</v>
      </c>
      <c r="J203" s="610">
        <f>N145</f>
        <v>552</v>
      </c>
      <c r="K203" s="609">
        <f>O145</f>
        <v>315</v>
      </c>
      <c r="L203" s="609"/>
      <c r="M203" s="609">
        <f>Q145</f>
        <v>646</v>
      </c>
      <c r="N203" s="610">
        <f>R145</f>
        <v>456</v>
      </c>
      <c r="O203" s="609">
        <f>S145</f>
        <v>252</v>
      </c>
      <c r="P203" s="609"/>
      <c r="Q203" s="609">
        <f>U145</f>
        <v>544</v>
      </c>
      <c r="R203" s="610">
        <f>V145</f>
        <v>384</v>
      </c>
      <c r="S203" s="609">
        <f>W145</f>
        <v>252</v>
      </c>
      <c r="T203" s="609"/>
      <c r="U203" s="609">
        <f>Y145</f>
        <v>510</v>
      </c>
      <c r="V203" s="610">
        <f>Z145</f>
        <v>360</v>
      </c>
      <c r="W203" s="609">
        <f>AA145</f>
        <v>126</v>
      </c>
      <c r="X203" s="609"/>
      <c r="Y203" s="609">
        <f t="shared" ref="Y203:AA203" si="152">AC145</f>
        <v>544</v>
      </c>
      <c r="Z203" s="610">
        <f t="shared" si="152"/>
        <v>384</v>
      </c>
      <c r="AA203" s="609">
        <f t="shared" si="152"/>
        <v>189</v>
      </c>
      <c r="AB203" s="609"/>
      <c r="AC203" s="609">
        <f>AC145</f>
        <v>544</v>
      </c>
      <c r="AD203" s="610">
        <f>AD145</f>
        <v>384</v>
      </c>
      <c r="AE203" s="609">
        <f>AE145</f>
        <v>189</v>
      </c>
      <c r="AF203" s="609"/>
      <c r="AG203" s="611">
        <f t="shared" si="146"/>
        <v>1117</v>
      </c>
      <c r="AH203" s="612"/>
    </row>
    <row r="204" spans="2:34" ht="15.9" customHeight="1" x14ac:dyDescent="0.3">
      <c r="B204" s="495" t="s">
        <v>32</v>
      </c>
      <c r="C204" s="583">
        <f t="shared" ref="C204:D204" si="153">C205+C206</f>
        <v>1673</v>
      </c>
      <c r="D204" s="583">
        <f t="shared" si="153"/>
        <v>65</v>
      </c>
      <c r="E204" s="580"/>
      <c r="F204" s="259"/>
      <c r="G204" s="581"/>
      <c r="H204" s="581"/>
      <c r="I204" s="260">
        <f t="shared" ref="I204:AG204" si="154">I205+I206</f>
        <v>32538</v>
      </c>
      <c r="J204" s="260">
        <f t="shared" si="154"/>
        <v>14976</v>
      </c>
      <c r="K204" s="260">
        <f t="shared" si="154"/>
        <v>9840</v>
      </c>
      <c r="L204" s="260"/>
      <c r="M204" s="260">
        <f t="shared" si="154"/>
        <v>45186</v>
      </c>
      <c r="N204" s="260">
        <f t="shared" si="154"/>
        <v>18504</v>
      </c>
      <c r="O204" s="260">
        <f t="shared" si="154"/>
        <v>4176</v>
      </c>
      <c r="P204" s="260"/>
      <c r="Q204" s="260">
        <f t="shared" si="154"/>
        <v>49504</v>
      </c>
      <c r="R204" s="260">
        <f t="shared" si="154"/>
        <v>18624</v>
      </c>
      <c r="S204" s="260">
        <f t="shared" si="154"/>
        <v>12600</v>
      </c>
      <c r="T204" s="260"/>
      <c r="U204" s="260">
        <f t="shared" si="154"/>
        <v>43860</v>
      </c>
      <c r="V204" s="260">
        <f t="shared" si="154"/>
        <v>14904</v>
      </c>
      <c r="W204" s="260">
        <f t="shared" si="154"/>
        <v>9168</v>
      </c>
      <c r="X204" s="260"/>
      <c r="Y204" s="260">
        <f t="shared" si="154"/>
        <v>40324</v>
      </c>
      <c r="Z204" s="260">
        <f t="shared" si="154"/>
        <v>12384</v>
      </c>
      <c r="AA204" s="260">
        <f t="shared" si="154"/>
        <v>7680</v>
      </c>
      <c r="AB204" s="260"/>
      <c r="AC204" s="260">
        <f t="shared" si="154"/>
        <v>40324</v>
      </c>
      <c r="AD204" s="260">
        <f t="shared" si="154"/>
        <v>28464</v>
      </c>
      <c r="AE204" s="260">
        <f t="shared" si="154"/>
        <v>15648</v>
      </c>
      <c r="AF204" s="260"/>
      <c r="AG204" s="260">
        <f t="shared" si="154"/>
        <v>84436</v>
      </c>
      <c r="AH204" s="603"/>
    </row>
    <row r="205" spans="2:34" s="267" customFormat="1" ht="15.9" customHeight="1" x14ac:dyDescent="0.3">
      <c r="B205" s="604" t="s">
        <v>555</v>
      </c>
      <c r="C205" s="605">
        <f>+AG100</f>
        <v>847</v>
      </c>
      <c r="D205" s="605">
        <f>+AH100</f>
        <v>0</v>
      </c>
      <c r="E205" s="606"/>
      <c r="F205" s="607"/>
      <c r="G205" s="608"/>
      <c r="H205" s="608"/>
      <c r="I205" s="609">
        <f>M100</f>
        <v>11322</v>
      </c>
      <c r="J205" s="610"/>
      <c r="K205" s="609"/>
      <c r="L205" s="609"/>
      <c r="M205" s="609">
        <f>Q100</f>
        <v>18972</v>
      </c>
      <c r="N205" s="610"/>
      <c r="O205" s="609"/>
      <c r="P205" s="609"/>
      <c r="Q205" s="609">
        <f>U100</f>
        <v>23120</v>
      </c>
      <c r="R205" s="610"/>
      <c r="S205" s="609"/>
      <c r="T205" s="609"/>
      <c r="U205" s="609">
        <f>Y100</f>
        <v>22746</v>
      </c>
      <c r="V205" s="610"/>
      <c r="W205" s="609"/>
      <c r="X205" s="609"/>
      <c r="Y205" s="609">
        <f>AC100</f>
        <v>22780</v>
      </c>
      <c r="Z205" s="610"/>
      <c r="AA205" s="609"/>
      <c r="AB205" s="609"/>
      <c r="AC205" s="609">
        <f>AC100</f>
        <v>22780</v>
      </c>
      <c r="AD205" s="610">
        <f>AD100</f>
        <v>16080</v>
      </c>
      <c r="AE205" s="609">
        <f>AE100</f>
        <v>7968</v>
      </c>
      <c r="AF205" s="609"/>
      <c r="AG205" s="611">
        <f>SUM(AC205:AE205)</f>
        <v>46828</v>
      </c>
      <c r="AH205" s="612"/>
    </row>
    <row r="206" spans="2:34" s="267" customFormat="1" ht="15.9" customHeight="1" x14ac:dyDescent="0.3">
      <c r="B206" s="604" t="s">
        <v>550</v>
      </c>
      <c r="C206" s="605">
        <f>+AG154</f>
        <v>826</v>
      </c>
      <c r="D206" s="605">
        <f>+AH154</f>
        <v>65</v>
      </c>
      <c r="E206" s="606"/>
      <c r="F206" s="607"/>
      <c r="G206" s="608"/>
      <c r="H206" s="608"/>
      <c r="I206" s="609">
        <f>M154</f>
        <v>21216</v>
      </c>
      <c r="J206" s="610">
        <f>N154</f>
        <v>14976</v>
      </c>
      <c r="K206" s="609">
        <f>O154</f>
        <v>9840</v>
      </c>
      <c r="L206" s="609"/>
      <c r="M206" s="609">
        <f>Q154</f>
        <v>26214</v>
      </c>
      <c r="N206" s="610">
        <f>R154</f>
        <v>18504</v>
      </c>
      <c r="O206" s="609">
        <f>S154</f>
        <v>4176</v>
      </c>
      <c r="P206" s="609"/>
      <c r="Q206" s="609">
        <f>U154</f>
        <v>26384</v>
      </c>
      <c r="R206" s="610">
        <f>V154</f>
        <v>18624</v>
      </c>
      <c r="S206" s="609">
        <f>W154</f>
        <v>12600</v>
      </c>
      <c r="T206" s="609"/>
      <c r="U206" s="609">
        <f>Y154</f>
        <v>21114</v>
      </c>
      <c r="V206" s="610">
        <f>Z154</f>
        <v>14904</v>
      </c>
      <c r="W206" s="609">
        <f>AA154</f>
        <v>9168</v>
      </c>
      <c r="X206" s="609"/>
      <c r="Y206" s="609">
        <f t="shared" ref="Y206:AA206" si="155">AC154</f>
        <v>17544</v>
      </c>
      <c r="Z206" s="610">
        <f t="shared" si="155"/>
        <v>12384</v>
      </c>
      <c r="AA206" s="609">
        <f t="shared" si="155"/>
        <v>7680</v>
      </c>
      <c r="AB206" s="609"/>
      <c r="AC206" s="609">
        <f>AC154</f>
        <v>17544</v>
      </c>
      <c r="AD206" s="610">
        <f>AD154</f>
        <v>12384</v>
      </c>
      <c r="AE206" s="609">
        <f>AE154</f>
        <v>7680</v>
      </c>
      <c r="AF206" s="609"/>
      <c r="AG206" s="611">
        <f t="shared" si="146"/>
        <v>37608</v>
      </c>
      <c r="AH206" s="612"/>
    </row>
    <row r="207" spans="2:34" ht="36.450000000000003" customHeight="1" x14ac:dyDescent="0.3">
      <c r="B207" s="495" t="s">
        <v>34</v>
      </c>
      <c r="C207" s="583">
        <f t="shared" ref="C207:D207" si="156">C208+C209</f>
        <v>297</v>
      </c>
      <c r="D207" s="583">
        <f t="shared" si="156"/>
        <v>0</v>
      </c>
      <c r="E207" s="580"/>
      <c r="F207" s="259"/>
      <c r="G207" s="581"/>
      <c r="H207" s="581"/>
      <c r="I207" s="260">
        <f t="shared" ref="I207:AG207" si="157">I208+I209</f>
        <v>6438</v>
      </c>
      <c r="J207" s="260">
        <f t="shared" si="157"/>
        <v>5328</v>
      </c>
      <c r="K207" s="260">
        <f t="shared" si="157"/>
        <v>324</v>
      </c>
      <c r="L207" s="260"/>
      <c r="M207" s="260">
        <f t="shared" si="157"/>
        <v>9367</v>
      </c>
      <c r="N207" s="260">
        <f t="shared" si="157"/>
        <v>7752</v>
      </c>
      <c r="O207" s="260">
        <f t="shared" si="157"/>
        <v>729</v>
      </c>
      <c r="P207" s="260"/>
      <c r="Q207" s="260">
        <f t="shared" si="157"/>
        <v>11368</v>
      </c>
      <c r="R207" s="260">
        <f t="shared" si="157"/>
        <v>9408</v>
      </c>
      <c r="S207" s="260">
        <f t="shared" si="157"/>
        <v>594</v>
      </c>
      <c r="T207" s="260"/>
      <c r="U207" s="260">
        <f t="shared" si="157"/>
        <v>13340</v>
      </c>
      <c r="V207" s="260">
        <f t="shared" si="157"/>
        <v>11040</v>
      </c>
      <c r="W207" s="260">
        <f t="shared" si="157"/>
        <v>459</v>
      </c>
      <c r="X207" s="260"/>
      <c r="Y207" s="260">
        <f t="shared" si="157"/>
        <v>13514</v>
      </c>
      <c r="Z207" s="260">
        <f t="shared" si="157"/>
        <v>11184</v>
      </c>
      <c r="AA207" s="260">
        <f t="shared" si="157"/>
        <v>2106</v>
      </c>
      <c r="AB207" s="260"/>
      <c r="AC207" s="260">
        <f>AC208+AC209</f>
        <v>13514</v>
      </c>
      <c r="AD207" s="260">
        <f t="shared" si="157"/>
        <v>11184</v>
      </c>
      <c r="AE207" s="260">
        <f t="shared" si="157"/>
        <v>2106</v>
      </c>
      <c r="AF207" s="260"/>
      <c r="AG207" s="260">
        <f t="shared" si="157"/>
        <v>26804</v>
      </c>
      <c r="AH207" s="603"/>
    </row>
    <row r="208" spans="2:34" s="267" customFormat="1" ht="15.9" customHeight="1" x14ac:dyDescent="0.3">
      <c r="B208" s="604" t="s">
        <v>555</v>
      </c>
      <c r="C208" s="605">
        <f>+AG109</f>
        <v>0</v>
      </c>
      <c r="D208" s="605">
        <f>+AH109</f>
        <v>0</v>
      </c>
      <c r="E208" s="606"/>
      <c r="F208" s="607"/>
      <c r="G208" s="608"/>
      <c r="H208" s="608"/>
      <c r="I208" s="609">
        <f>M109</f>
        <v>0</v>
      </c>
      <c r="J208" s="610"/>
      <c r="K208" s="609"/>
      <c r="L208" s="609"/>
      <c r="M208" s="609">
        <f>Q109</f>
        <v>0</v>
      </c>
      <c r="N208" s="610"/>
      <c r="O208" s="609"/>
      <c r="P208" s="609"/>
      <c r="Q208" s="609">
        <f>U109</f>
        <v>0</v>
      </c>
      <c r="R208" s="610"/>
      <c r="S208" s="609"/>
      <c r="T208" s="609"/>
      <c r="U208" s="609">
        <f>Y109</f>
        <v>0</v>
      </c>
      <c r="V208" s="610"/>
      <c r="W208" s="609"/>
      <c r="X208" s="609"/>
      <c r="Y208" s="609">
        <f>AC109</f>
        <v>0</v>
      </c>
      <c r="Z208" s="610"/>
      <c r="AA208" s="609"/>
      <c r="AB208" s="609"/>
      <c r="AC208" s="609">
        <f>AC109</f>
        <v>0</v>
      </c>
      <c r="AD208" s="610">
        <f>AD109</f>
        <v>0</v>
      </c>
      <c r="AE208" s="609">
        <f>AE109</f>
        <v>0</v>
      </c>
      <c r="AF208" s="609"/>
      <c r="AG208" s="611">
        <f>SUM(AC208:AE208)</f>
        <v>0</v>
      </c>
      <c r="AH208" s="612"/>
    </row>
    <row r="209" spans="2:34" s="267" customFormat="1" ht="15.9" customHeight="1" x14ac:dyDescent="0.3">
      <c r="B209" s="604" t="s">
        <v>550</v>
      </c>
      <c r="C209" s="605">
        <f>+AG163</f>
        <v>297</v>
      </c>
      <c r="D209" s="605">
        <f>+AH163</f>
        <v>0</v>
      </c>
      <c r="E209" s="606"/>
      <c r="F209" s="607"/>
      <c r="G209" s="608"/>
      <c r="H209" s="608"/>
      <c r="I209" s="609">
        <f>M163</f>
        <v>6438</v>
      </c>
      <c r="J209" s="610">
        <f>N163</f>
        <v>5328</v>
      </c>
      <c r="K209" s="609">
        <f>O163</f>
        <v>324</v>
      </c>
      <c r="L209" s="609"/>
      <c r="M209" s="609">
        <f>Q163</f>
        <v>9367</v>
      </c>
      <c r="N209" s="610">
        <f>R163</f>
        <v>7752</v>
      </c>
      <c r="O209" s="609">
        <f>S163</f>
        <v>729</v>
      </c>
      <c r="P209" s="609"/>
      <c r="Q209" s="609">
        <f>U163</f>
        <v>11368</v>
      </c>
      <c r="R209" s="610">
        <f>V163</f>
        <v>9408</v>
      </c>
      <c r="S209" s="609">
        <f>W163</f>
        <v>594</v>
      </c>
      <c r="T209" s="609"/>
      <c r="U209" s="609">
        <f>Y163</f>
        <v>13340</v>
      </c>
      <c r="V209" s="610">
        <f>Z163</f>
        <v>11040</v>
      </c>
      <c r="W209" s="609">
        <f>AA163</f>
        <v>459</v>
      </c>
      <c r="X209" s="609"/>
      <c r="Y209" s="609">
        <f t="shared" ref="Y209:AA209" si="158">AC163</f>
        <v>13514</v>
      </c>
      <c r="Z209" s="610">
        <f t="shared" si="158"/>
        <v>11184</v>
      </c>
      <c r="AA209" s="609">
        <f t="shared" si="158"/>
        <v>2106</v>
      </c>
      <c r="AB209" s="609"/>
      <c r="AC209" s="609">
        <f>AC163</f>
        <v>13514</v>
      </c>
      <c r="AD209" s="610">
        <f>AD163</f>
        <v>11184</v>
      </c>
      <c r="AE209" s="609">
        <f>AE163</f>
        <v>2106</v>
      </c>
      <c r="AF209" s="609"/>
      <c r="AG209" s="611">
        <f t="shared" si="146"/>
        <v>26804</v>
      </c>
      <c r="AH209" s="612"/>
    </row>
    <row r="210" spans="2:34" s="254" customFormat="1" ht="21" customHeight="1" x14ac:dyDescent="0.3">
      <c r="B210" s="613" t="s">
        <v>533</v>
      </c>
      <c r="C210" s="587">
        <f>C195+C198+C201+C204+C207</f>
        <v>2866</v>
      </c>
      <c r="D210" s="587">
        <f>D195+D198+D201+D204+D207</f>
        <v>79</v>
      </c>
      <c r="E210" s="614"/>
      <c r="F210" s="261"/>
      <c r="G210" s="615"/>
      <c r="H210" s="615"/>
      <c r="I210" s="261">
        <f>I195+I198+I201+I204+I207</f>
        <v>52055.75</v>
      </c>
      <c r="J210" s="261">
        <f t="shared" ref="J210:AA210" si="159">J195+J198+J201+J204+J207</f>
        <v>22728</v>
      </c>
      <c r="K210" s="261">
        <f t="shared" si="159"/>
        <v>11055</v>
      </c>
      <c r="L210" s="261"/>
      <c r="M210" s="261">
        <f t="shared" si="159"/>
        <v>80835.25</v>
      </c>
      <c r="N210" s="261">
        <f t="shared" si="159"/>
        <v>30000</v>
      </c>
      <c r="O210" s="261">
        <f t="shared" si="159"/>
        <v>6093</v>
      </c>
      <c r="P210" s="261"/>
      <c r="Q210" s="261">
        <f t="shared" si="159"/>
        <v>94295</v>
      </c>
      <c r="R210" s="261">
        <f t="shared" si="159"/>
        <v>31896</v>
      </c>
      <c r="S210" s="261">
        <f t="shared" si="159"/>
        <v>16794</v>
      </c>
      <c r="T210" s="261"/>
      <c r="U210" s="261">
        <f t="shared" si="159"/>
        <v>91289</v>
      </c>
      <c r="V210" s="261">
        <f t="shared" si="159"/>
        <v>29304</v>
      </c>
      <c r="W210" s="261">
        <f t="shared" si="159"/>
        <v>12129</v>
      </c>
      <c r="X210" s="261"/>
      <c r="Y210" s="261">
        <f t="shared" si="159"/>
        <v>87402.25</v>
      </c>
      <c r="Z210" s="261">
        <f t="shared" si="159"/>
        <v>26496</v>
      </c>
      <c r="AA210" s="261">
        <f t="shared" si="159"/>
        <v>12487</v>
      </c>
      <c r="AB210" s="261"/>
      <c r="AC210" s="261">
        <f>I210+M210+Q210+U210+Y210</f>
        <v>405877.25</v>
      </c>
      <c r="AD210" s="261">
        <f>J210+N210+R210+V210+Z210</f>
        <v>140424</v>
      </c>
      <c r="AE210" s="261">
        <f>K210+O210+S210+W210+AA210</f>
        <v>58558</v>
      </c>
      <c r="AF210" s="261"/>
      <c r="AG210" s="587">
        <f>SUM(AC210:AE210)</f>
        <v>604859.25</v>
      </c>
      <c r="AH210" s="590"/>
    </row>
  </sheetData>
  <mergeCells count="32">
    <mergeCell ref="Y183:AA183"/>
    <mergeCell ref="AC183:AG183"/>
    <mergeCell ref="E3:H3"/>
    <mergeCell ref="I3:L3"/>
    <mergeCell ref="M3:P3"/>
    <mergeCell ref="Q3:T3"/>
    <mergeCell ref="U3:X3"/>
    <mergeCell ref="Y3:AB3"/>
    <mergeCell ref="AC3:AF3"/>
    <mergeCell ref="U183:W183"/>
    <mergeCell ref="C183:D183"/>
    <mergeCell ref="E183:G183"/>
    <mergeCell ref="I183:K183"/>
    <mergeCell ref="M183:O183"/>
    <mergeCell ref="Q183:S183"/>
    <mergeCell ref="AN3:AN4"/>
    <mergeCell ref="C181:D181"/>
    <mergeCell ref="E181:G181"/>
    <mergeCell ref="I181:K181"/>
    <mergeCell ref="M181:O181"/>
    <mergeCell ref="Q181:S181"/>
    <mergeCell ref="U181:W181"/>
    <mergeCell ref="Y181:AA181"/>
    <mergeCell ref="AC181:AE181"/>
    <mergeCell ref="AM2:AM4"/>
    <mergeCell ref="AG3:AH3"/>
    <mergeCell ref="A1:AL1"/>
    <mergeCell ref="A2:A4"/>
    <mergeCell ref="B2:B4"/>
    <mergeCell ref="C2:D3"/>
    <mergeCell ref="E2:AE2"/>
    <mergeCell ref="AI2:AL3"/>
  </mergeCells>
  <pageMargins left="0.25" right="0.25" top="0.75" bottom="0.75" header="0.3" footer="0.3"/>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243"/>
  <sheetViews>
    <sheetView topLeftCell="A11" zoomScale="84" zoomScaleNormal="84" workbookViewId="0">
      <selection activeCell="G7" sqref="G7"/>
    </sheetView>
  </sheetViews>
  <sheetFormatPr defaultRowHeight="14.4" x14ac:dyDescent="0.3"/>
  <cols>
    <col min="1" max="1" width="4.6640625" customWidth="1"/>
    <col min="2" max="2" width="35.109375" customWidth="1"/>
    <col min="3" max="3" width="17.44140625" hidden="1" customWidth="1"/>
    <col min="4" max="4" width="8" customWidth="1"/>
    <col min="5" max="5" width="9" customWidth="1"/>
    <col min="6" max="6" width="12.109375" hidden="1" customWidth="1"/>
    <col min="7" max="7" width="13.109375" customWidth="1"/>
    <col min="8" max="10" width="32.109375" style="128" customWidth="1"/>
    <col min="11" max="11" width="24.5546875" customWidth="1"/>
    <col min="12" max="12" width="13.6640625" customWidth="1"/>
    <col min="13" max="13" width="15.44140625" customWidth="1"/>
  </cols>
  <sheetData>
    <row r="1" spans="1:21" ht="24" customHeight="1" x14ac:dyDescent="0.3">
      <c r="A1" s="670" t="s">
        <v>611</v>
      </c>
      <c r="B1" s="670"/>
      <c r="C1" s="670"/>
      <c r="D1" s="670"/>
      <c r="E1" s="670"/>
      <c r="F1" s="670"/>
      <c r="G1" s="670"/>
      <c r="H1" s="670"/>
      <c r="I1" s="30"/>
      <c r="J1" s="30"/>
    </row>
    <row r="2" spans="1:21" ht="24" customHeight="1" x14ac:dyDescent="0.3">
      <c r="A2" s="678" t="s">
        <v>610</v>
      </c>
      <c r="B2" s="678"/>
      <c r="C2" s="678"/>
      <c r="D2" s="678"/>
      <c r="E2" s="678"/>
      <c r="F2" s="678"/>
      <c r="G2" s="678"/>
      <c r="H2" s="678"/>
      <c r="I2" s="30"/>
      <c r="J2" s="30"/>
    </row>
    <row r="3" spans="1:21" ht="15.6" x14ac:dyDescent="0.3">
      <c r="A3" s="31"/>
      <c r="B3" s="30"/>
      <c r="C3" s="30"/>
      <c r="D3" s="30"/>
      <c r="E3" s="30"/>
      <c r="F3" s="30"/>
      <c r="G3" s="30"/>
      <c r="H3" s="32" t="s">
        <v>549</v>
      </c>
      <c r="I3" s="32"/>
      <c r="J3" s="32"/>
    </row>
    <row r="4" spans="1:21" s="37" customFormat="1" ht="66" customHeight="1" x14ac:dyDescent="0.3">
      <c r="A4" s="33" t="s">
        <v>35</v>
      </c>
      <c r="B4" s="34" t="s">
        <v>36</v>
      </c>
      <c r="C4" s="34" t="s">
        <v>37</v>
      </c>
      <c r="D4" s="34" t="s">
        <v>38</v>
      </c>
      <c r="E4" s="34" t="s">
        <v>39</v>
      </c>
      <c r="F4" s="34" t="s">
        <v>40</v>
      </c>
      <c r="G4" s="34" t="s">
        <v>41</v>
      </c>
      <c r="H4" s="35" t="s">
        <v>42</v>
      </c>
      <c r="I4" s="36"/>
      <c r="J4" s="36"/>
    </row>
    <row r="5" spans="1:21" s="37" customFormat="1" ht="86.25" customHeight="1" x14ac:dyDescent="0.3">
      <c r="A5" s="33"/>
      <c r="B5" s="34"/>
      <c r="C5" s="34"/>
      <c r="D5" s="34">
        <v>1</v>
      </c>
      <c r="E5" s="34">
        <v>2</v>
      </c>
      <c r="F5" s="34">
        <v>3</v>
      </c>
      <c r="G5" s="38" t="s">
        <v>43</v>
      </c>
      <c r="H5" s="35">
        <v>5</v>
      </c>
      <c r="I5" s="36"/>
      <c r="J5" s="36"/>
    </row>
    <row r="6" spans="1:21" s="37" customFormat="1" ht="42.75" customHeight="1" x14ac:dyDescent="0.3">
      <c r="A6" s="39"/>
      <c r="B6" s="40" t="s">
        <v>10</v>
      </c>
      <c r="C6" s="40"/>
      <c r="D6" s="41">
        <f>SUM(D7:D11)</f>
        <v>198</v>
      </c>
      <c r="E6" s="41">
        <f t="shared" ref="E6:G6" si="0">SUM(E7:E11)</f>
        <v>869</v>
      </c>
      <c r="F6" s="41" t="e">
        <f t="shared" si="0"/>
        <v>#VALUE!</v>
      </c>
      <c r="G6" s="41">
        <f t="shared" si="0"/>
        <v>4712400</v>
      </c>
      <c r="H6" s="42"/>
      <c r="I6" s="36"/>
      <c r="J6" s="36"/>
    </row>
    <row r="7" spans="1:21" s="37" customFormat="1" ht="42" customHeight="1" x14ac:dyDescent="0.3">
      <c r="A7" s="43"/>
      <c r="B7" s="44" t="s">
        <v>4</v>
      </c>
      <c r="C7" s="45" t="e">
        <f t="shared" ref="C7" si="1">C14+C20+C33+C49+C52+C67+C98+C103+C138+C159+C161+C198+C213</f>
        <v>#VALUE!</v>
      </c>
      <c r="D7" s="45">
        <f>D14+D20+D33+D49+D52+D67+D98+D103+D124+D138+D159+D161+D198+D213</f>
        <v>42</v>
      </c>
      <c r="E7" s="45">
        <f>E14+E20+E33+E49+E52+E67+E98+E103+E124+E138+E159+E161+E198+E213+I33+I99+I100+I101</f>
        <v>223</v>
      </c>
      <c r="F7" s="45" t="e">
        <f t="shared" ref="F7:G7" si="2">F14+F20+F33+F49+F52+F67+F98+F103+F124+F138+F159+F161+F198+F213</f>
        <v>#VALUE!</v>
      </c>
      <c r="G7" s="45">
        <f t="shared" si="2"/>
        <v>1174800</v>
      </c>
      <c r="H7" s="163" t="s">
        <v>557</v>
      </c>
      <c r="I7" s="36"/>
      <c r="J7" s="36"/>
    </row>
    <row r="8" spans="1:21" s="37" customFormat="1" ht="42.75" customHeight="1" x14ac:dyDescent="0.3">
      <c r="A8" s="43"/>
      <c r="B8" s="44" t="s">
        <v>6</v>
      </c>
      <c r="C8" s="45" t="e">
        <f t="shared" ref="C8" si="3">C15+C26+C36+C55+C73+C107+C125+C143+C165+C201+C215</f>
        <v>#VALUE!</v>
      </c>
      <c r="D8" s="45">
        <f>D15+D26+D36+D55+D73+D107+D125+D143+D165+D201+D215</f>
        <v>44</v>
      </c>
      <c r="E8" s="45">
        <f>E15+E26+E36+E55+E73+E107+E125+E143+E165+E201+E215+I36+I109</f>
        <v>188</v>
      </c>
      <c r="F8" s="45" t="e">
        <f t="shared" ref="F8:G8" si="4">F15+F26+F36+F55+F73+F107+F125+F143+F165+F201+F215</f>
        <v>#VALUE!</v>
      </c>
      <c r="G8" s="45">
        <f t="shared" si="4"/>
        <v>1011600</v>
      </c>
      <c r="H8" s="163" t="s">
        <v>557</v>
      </c>
      <c r="I8" s="36"/>
      <c r="J8" s="36"/>
    </row>
    <row r="9" spans="1:21" s="37" customFormat="1" ht="42.75" customHeight="1" x14ac:dyDescent="0.3">
      <c r="A9" s="43"/>
      <c r="B9" s="44" t="s">
        <v>7</v>
      </c>
      <c r="C9" s="45" t="e">
        <f t="shared" ref="C9" si="5">C16+C39+C58+C79+C111+C128+C148+C173+C204+C217</f>
        <v>#VALUE!</v>
      </c>
      <c r="D9" s="45">
        <f>D16+D39+D58+D79+D111+D128+D148+D173+D204+D217</f>
        <v>37</v>
      </c>
      <c r="E9" s="45">
        <f>E16+E39+E58+E79+E111+E128+E148+E173+E204+E217+I39+I114</f>
        <v>158</v>
      </c>
      <c r="F9" s="45" t="e">
        <f t="shared" ref="F9:G9" si="6">F16+F39+F58+F79+F111+F128+F148+F173+F204+F217</f>
        <v>#VALUE!</v>
      </c>
      <c r="G9" s="45">
        <f t="shared" si="6"/>
        <v>867600</v>
      </c>
      <c r="H9" s="163" t="s">
        <v>557</v>
      </c>
      <c r="I9" s="36"/>
      <c r="J9" s="36"/>
    </row>
    <row r="10" spans="1:21" s="37" customFormat="1" ht="42.75" customHeight="1" x14ac:dyDescent="0.3">
      <c r="A10" s="43"/>
      <c r="B10" s="44" t="s">
        <v>8</v>
      </c>
      <c r="C10" s="45" t="e">
        <f t="shared" ref="C10" si="7">C17+C42+C61+C85+C115+C131+C151+C181+C207+C219</f>
        <v>#VALUE!</v>
      </c>
      <c r="D10" s="45">
        <f>D17+D42+D61+D85+D115+D131+D151+D181+D207+D219</f>
        <v>39</v>
      </c>
      <c r="E10" s="45">
        <f>E17+E42+E61+E85+E115+E131+E151+E181+E207+E219+I42+I61+I116</f>
        <v>162</v>
      </c>
      <c r="F10" s="45" t="e">
        <f t="shared" ref="F10:G10" si="8">F17+F42+F61+F85+F115+F131+F151+F181+F207+F219</f>
        <v>#VALUE!</v>
      </c>
      <c r="G10" s="45">
        <f t="shared" si="8"/>
        <v>886800</v>
      </c>
      <c r="H10" s="163" t="s">
        <v>557</v>
      </c>
      <c r="I10" s="36"/>
      <c r="J10" s="36"/>
    </row>
    <row r="11" spans="1:21" s="37" customFormat="1" ht="42.75" customHeight="1" x14ac:dyDescent="0.3">
      <c r="A11" s="43"/>
      <c r="B11" s="44" t="s">
        <v>9</v>
      </c>
      <c r="C11" s="45" t="e">
        <f t="shared" ref="C11" si="9">C18+C45+C64+C91+C119+C134+C154+C189+C210+C221</f>
        <v>#VALUE!</v>
      </c>
      <c r="D11" s="45">
        <f>D18+D45+D64+D91+D119+D134+D154+D189+D210+D221</f>
        <v>36</v>
      </c>
      <c r="E11" s="45">
        <f>E18+E45+E64+E91+E119+E134+E154+E189+E210+E221+I45+I64+I121</f>
        <v>138</v>
      </c>
      <c r="F11" s="45" t="e">
        <f t="shared" ref="F11:G11" si="10">F18+F45+F64+F91+F119+F134+F154+F189+F210+F221</f>
        <v>#VALUE!</v>
      </c>
      <c r="G11" s="45">
        <f t="shared" si="10"/>
        <v>771600</v>
      </c>
      <c r="H11" s="163" t="s">
        <v>557</v>
      </c>
      <c r="I11" s="36"/>
      <c r="J11" s="36"/>
    </row>
    <row r="12" spans="1:21" s="51" customFormat="1" ht="15.75" customHeight="1" x14ac:dyDescent="0.3">
      <c r="A12" s="33"/>
      <c r="B12" s="34" t="s">
        <v>534</v>
      </c>
      <c r="C12" s="34"/>
      <c r="D12" s="46"/>
      <c r="E12" s="47"/>
      <c r="F12" s="47"/>
      <c r="G12" s="47"/>
      <c r="H12" s="48"/>
      <c r="I12" s="49"/>
      <c r="J12" s="49"/>
      <c r="K12" s="50"/>
    </row>
    <row r="13" spans="1:21" s="51" customFormat="1" ht="17.399999999999999" x14ac:dyDescent="0.3">
      <c r="A13" s="52">
        <v>1</v>
      </c>
      <c r="B13" s="53" t="s">
        <v>44</v>
      </c>
      <c r="C13" s="54"/>
      <c r="D13" s="55">
        <f>D15+D16+D17+D18+D14</f>
        <v>5</v>
      </c>
      <c r="E13" s="55">
        <f>E15+E16+E17+E18+E14</f>
        <v>30</v>
      </c>
      <c r="F13" s="55"/>
      <c r="G13" s="56">
        <f>G15+G16+G17+G18+G14</f>
        <v>144000</v>
      </c>
      <c r="H13" s="57"/>
      <c r="I13" s="58"/>
      <c r="J13" s="58"/>
      <c r="K13" s="671" t="s">
        <v>45</v>
      </c>
      <c r="L13" s="672"/>
      <c r="M13" s="59">
        <f>SUM(M14:M18)</f>
        <v>4712400</v>
      </c>
    </row>
    <row r="14" spans="1:21" s="51" customFormat="1" ht="28.2" x14ac:dyDescent="0.3">
      <c r="A14" s="60"/>
      <c r="B14" s="61" t="s">
        <v>4</v>
      </c>
      <c r="C14" s="62" t="s">
        <v>46</v>
      </c>
      <c r="D14" s="63">
        <v>1</v>
      </c>
      <c r="E14" s="63">
        <v>6</v>
      </c>
      <c r="F14" s="62" t="s">
        <v>47</v>
      </c>
      <c r="G14" s="64">
        <f>D14*E14*4800</f>
        <v>28800</v>
      </c>
      <c r="H14" s="65" t="s">
        <v>48</v>
      </c>
      <c r="I14" s="66"/>
      <c r="J14" s="67">
        <f t="shared" ref="J14:L14" si="11">D14+D20+D33+D49+D52+D67+D98+D103+D138+D159+D161+D198+D213</f>
        <v>42</v>
      </c>
      <c r="K14" s="67">
        <f t="shared" si="11"/>
        <v>169</v>
      </c>
      <c r="L14" s="67" t="e">
        <f t="shared" si="11"/>
        <v>#VALUE!</v>
      </c>
      <c r="M14" s="67">
        <f>G14+G20+G33+G49+G52+G67+G98+G103+G138+G159+G161+G198+G213</f>
        <v>1174800</v>
      </c>
      <c r="U14" s="61" t="s">
        <v>4</v>
      </c>
    </row>
    <row r="15" spans="1:21" s="51" customFormat="1" ht="28.2" x14ac:dyDescent="0.3">
      <c r="A15" s="60"/>
      <c r="B15" s="61" t="s">
        <v>6</v>
      </c>
      <c r="C15" s="62" t="s">
        <v>46</v>
      </c>
      <c r="D15" s="63">
        <v>1</v>
      </c>
      <c r="E15" s="63">
        <v>6</v>
      </c>
      <c r="F15" s="62" t="s">
        <v>47</v>
      </c>
      <c r="G15" s="64">
        <f>D15*E15*4800</f>
        <v>28800</v>
      </c>
      <c r="H15" s="65" t="s">
        <v>48</v>
      </c>
      <c r="I15" s="66"/>
      <c r="J15" s="67">
        <f t="shared" ref="J15:L15" si="12">D15+D26+D36+D55+D73+D107+D125+D143+D165+D201+D215</f>
        <v>44</v>
      </c>
      <c r="K15" s="67">
        <f t="shared" si="12"/>
        <v>158</v>
      </c>
      <c r="L15" s="67" t="e">
        <f t="shared" si="12"/>
        <v>#VALUE!</v>
      </c>
      <c r="M15" s="67">
        <f>G15+G26+G36+G55+G73+G107+G125+G143+G165+G201+G215</f>
        <v>1011600</v>
      </c>
      <c r="U15" s="61" t="s">
        <v>6</v>
      </c>
    </row>
    <row r="16" spans="1:21" s="51" customFormat="1" ht="28.2" x14ac:dyDescent="0.3">
      <c r="A16" s="60"/>
      <c r="B16" s="61" t="s">
        <v>7</v>
      </c>
      <c r="C16" s="62" t="s">
        <v>46</v>
      </c>
      <c r="D16" s="63">
        <v>1</v>
      </c>
      <c r="E16" s="63">
        <v>6</v>
      </c>
      <c r="F16" s="62" t="s">
        <v>47</v>
      </c>
      <c r="G16" s="64">
        <f>D16*E16*4800</f>
        <v>28800</v>
      </c>
      <c r="H16" s="65" t="s">
        <v>48</v>
      </c>
      <c r="I16" s="66"/>
      <c r="J16" s="67">
        <f t="shared" ref="J16:L16" si="13">D16+D39+D58+D79+D111+D128+D148+D173+D204+D217</f>
        <v>37</v>
      </c>
      <c r="K16" s="67">
        <f t="shared" si="13"/>
        <v>128</v>
      </c>
      <c r="L16" s="67" t="e">
        <f t="shared" si="13"/>
        <v>#VALUE!</v>
      </c>
      <c r="M16" s="67">
        <f>G16+G39+G58+G79+G111+G128+G148+G173+G204+G217</f>
        <v>867600</v>
      </c>
      <c r="U16" s="61" t="s">
        <v>7</v>
      </c>
    </row>
    <row r="17" spans="1:21" s="51" customFormat="1" ht="28.2" x14ac:dyDescent="0.3">
      <c r="A17" s="60"/>
      <c r="B17" s="61" t="s">
        <v>8</v>
      </c>
      <c r="C17" s="62" t="s">
        <v>46</v>
      </c>
      <c r="D17" s="63">
        <v>1</v>
      </c>
      <c r="E17" s="63">
        <v>6</v>
      </c>
      <c r="F17" s="62" t="s">
        <v>47</v>
      </c>
      <c r="G17" s="64">
        <f>D17*E17*4800</f>
        <v>28800</v>
      </c>
      <c r="H17" s="65" t="s">
        <v>48</v>
      </c>
      <c r="I17" s="66"/>
      <c r="J17" s="67">
        <f t="shared" ref="J17:L17" si="14">D17+D42+D61+D85+D115+D131+D151+D181+D207+D219</f>
        <v>39</v>
      </c>
      <c r="K17" s="67">
        <f t="shared" si="14"/>
        <v>121</v>
      </c>
      <c r="L17" s="67" t="e">
        <f t="shared" si="14"/>
        <v>#VALUE!</v>
      </c>
      <c r="M17" s="67">
        <f>G17+G42+G61+G85+G115+G131+G151+G181+G207+G219</f>
        <v>886800</v>
      </c>
      <c r="U17" s="61" t="s">
        <v>8</v>
      </c>
    </row>
    <row r="18" spans="1:21" s="51" customFormat="1" ht="28.2" x14ac:dyDescent="0.3">
      <c r="A18" s="60"/>
      <c r="B18" s="61" t="s">
        <v>9</v>
      </c>
      <c r="C18" s="62" t="s">
        <v>46</v>
      </c>
      <c r="D18" s="63">
        <v>1</v>
      </c>
      <c r="E18" s="63">
        <v>6</v>
      </c>
      <c r="F18" s="62" t="s">
        <v>47</v>
      </c>
      <c r="G18" s="64">
        <f>D18*E18*4800</f>
        <v>28800</v>
      </c>
      <c r="H18" s="65" t="s">
        <v>48</v>
      </c>
      <c r="I18" s="66"/>
      <c r="J18" s="67">
        <f t="shared" ref="J18:L18" si="15">D18+D45+D64+D91+D119+D134+D154+D189+D210+D221</f>
        <v>36</v>
      </c>
      <c r="K18" s="67">
        <f t="shared" si="15"/>
        <v>106</v>
      </c>
      <c r="L18" s="67" t="e">
        <f t="shared" si="15"/>
        <v>#VALUE!</v>
      </c>
      <c r="M18" s="67">
        <f>G18+G45+G64+G91+G119+G134+G154+G189+G210+G221</f>
        <v>771600</v>
      </c>
      <c r="U18" s="61" t="s">
        <v>9</v>
      </c>
    </row>
    <row r="19" spans="1:21" s="51" customFormat="1" x14ac:dyDescent="0.3">
      <c r="A19" s="52">
        <v>2</v>
      </c>
      <c r="B19" s="53" t="s">
        <v>49</v>
      </c>
      <c r="C19" s="54"/>
      <c r="D19" s="55">
        <f>D20+D26+D32+D33+D34</f>
        <v>36</v>
      </c>
      <c r="E19" s="55">
        <f>E20+E26+E32+E33+E34</f>
        <v>204</v>
      </c>
      <c r="F19" s="55"/>
      <c r="G19" s="55">
        <f>G20+G26+G32+G33+G34</f>
        <v>1728000</v>
      </c>
      <c r="H19" s="57"/>
      <c r="I19" s="68"/>
      <c r="J19" s="68"/>
    </row>
    <row r="20" spans="1:21" s="51" customFormat="1" x14ac:dyDescent="0.3">
      <c r="A20" s="60"/>
      <c r="B20" s="61" t="s">
        <v>4</v>
      </c>
      <c r="C20" s="69"/>
      <c r="D20" s="70">
        <f>SUM(D21:D25)</f>
        <v>5</v>
      </c>
      <c r="E20" s="70">
        <f>SUM(E21:E25)</f>
        <v>24</v>
      </c>
      <c r="F20" s="70">
        <f>SUM(F21:F25)</f>
        <v>0</v>
      </c>
      <c r="G20" s="71">
        <f>SUM(G21:G25)</f>
        <v>115200</v>
      </c>
      <c r="H20" s="63"/>
      <c r="I20" s="72"/>
      <c r="J20" s="72"/>
    </row>
    <row r="21" spans="1:21" s="51" customFormat="1" ht="39" customHeight="1" x14ac:dyDescent="0.3">
      <c r="A21" s="60"/>
      <c r="B21" s="69" t="s">
        <v>50</v>
      </c>
      <c r="C21" s="62" t="s">
        <v>51</v>
      </c>
      <c r="D21" s="73">
        <v>1</v>
      </c>
      <c r="E21" s="73">
        <v>6</v>
      </c>
      <c r="F21" s="65" t="s">
        <v>52</v>
      </c>
      <c r="G21" s="64">
        <f t="shared" ref="G21:G25" si="16">4800*E21*D21</f>
        <v>28800</v>
      </c>
      <c r="H21" s="63"/>
      <c r="I21" s="72"/>
      <c r="J21" s="72"/>
    </row>
    <row r="22" spans="1:21" s="51" customFormat="1" ht="39" customHeight="1" x14ac:dyDescent="0.3">
      <c r="A22" s="60"/>
      <c r="B22" s="69" t="s">
        <v>50</v>
      </c>
      <c r="C22" s="62" t="s">
        <v>51</v>
      </c>
      <c r="D22" s="73">
        <v>1</v>
      </c>
      <c r="E22" s="73">
        <v>6</v>
      </c>
      <c r="F22" s="65" t="s">
        <v>53</v>
      </c>
      <c r="G22" s="64">
        <f t="shared" si="16"/>
        <v>28800</v>
      </c>
      <c r="H22" s="63"/>
      <c r="I22" s="72"/>
      <c r="J22" s="72"/>
    </row>
    <row r="23" spans="1:21" s="51" customFormat="1" ht="39" customHeight="1" x14ac:dyDescent="0.3">
      <c r="A23" s="60"/>
      <c r="B23" s="69" t="s">
        <v>50</v>
      </c>
      <c r="C23" s="62" t="s">
        <v>54</v>
      </c>
      <c r="D23" s="73">
        <v>1</v>
      </c>
      <c r="E23" s="73">
        <v>4</v>
      </c>
      <c r="F23" s="65" t="s">
        <v>55</v>
      </c>
      <c r="G23" s="64">
        <f t="shared" si="16"/>
        <v>19200</v>
      </c>
      <c r="H23" s="63"/>
      <c r="I23" s="72"/>
      <c r="J23" s="72"/>
    </row>
    <row r="24" spans="1:21" s="51" customFormat="1" ht="39" customHeight="1" x14ac:dyDescent="0.3">
      <c r="A24" s="60"/>
      <c r="B24" s="69" t="s">
        <v>50</v>
      </c>
      <c r="C24" s="62" t="s">
        <v>54</v>
      </c>
      <c r="D24" s="73">
        <v>1</v>
      </c>
      <c r="E24" s="63">
        <v>4</v>
      </c>
      <c r="F24" s="65" t="s">
        <v>53</v>
      </c>
      <c r="G24" s="64">
        <f t="shared" si="16"/>
        <v>19200</v>
      </c>
      <c r="H24" s="62"/>
      <c r="I24" s="74"/>
      <c r="J24" s="74"/>
    </row>
    <row r="25" spans="1:21" s="51" customFormat="1" ht="39" customHeight="1" x14ac:dyDescent="0.3">
      <c r="A25" s="60"/>
      <c r="B25" s="69" t="s">
        <v>50</v>
      </c>
      <c r="C25" s="62" t="s">
        <v>54</v>
      </c>
      <c r="D25" s="73">
        <v>1</v>
      </c>
      <c r="E25" s="63">
        <v>4</v>
      </c>
      <c r="F25" s="65" t="s">
        <v>56</v>
      </c>
      <c r="G25" s="64">
        <f t="shared" si="16"/>
        <v>19200</v>
      </c>
      <c r="H25" s="62"/>
      <c r="I25" s="74"/>
      <c r="J25" s="74"/>
    </row>
    <row r="26" spans="1:21" s="51" customFormat="1" ht="39" customHeight="1" x14ac:dyDescent="0.3">
      <c r="A26" s="60"/>
      <c r="B26" s="61" t="s">
        <v>6</v>
      </c>
      <c r="C26" s="63"/>
      <c r="D26" s="70">
        <f>SUM(D27:D31)</f>
        <v>5</v>
      </c>
      <c r="E26" s="70">
        <f>SUM(E27:E31)</f>
        <v>24</v>
      </c>
      <c r="F26" s="70">
        <f>SUM(F30:F31)</f>
        <v>0</v>
      </c>
      <c r="G26" s="75">
        <f>SUM(G27:G31)</f>
        <v>115200</v>
      </c>
      <c r="H26" s="63"/>
      <c r="I26" s="72"/>
      <c r="J26" s="72"/>
    </row>
    <row r="27" spans="1:21" s="51" customFormat="1" ht="39" customHeight="1" x14ac:dyDescent="0.3">
      <c r="A27" s="60"/>
      <c r="B27" s="69" t="s">
        <v>50</v>
      </c>
      <c r="C27" s="62" t="s">
        <v>51</v>
      </c>
      <c r="D27" s="73">
        <v>1</v>
      </c>
      <c r="E27" s="73">
        <v>6</v>
      </c>
      <c r="F27" s="65" t="s">
        <v>52</v>
      </c>
      <c r="G27" s="64">
        <f>4800*E27*D27</f>
        <v>28800</v>
      </c>
      <c r="H27" s="63"/>
      <c r="I27" s="72"/>
      <c r="J27" s="72"/>
    </row>
    <row r="28" spans="1:21" s="51" customFormat="1" ht="39" customHeight="1" x14ac:dyDescent="0.3">
      <c r="A28" s="60"/>
      <c r="B28" s="69" t="s">
        <v>50</v>
      </c>
      <c r="C28" s="62" t="s">
        <v>51</v>
      </c>
      <c r="D28" s="73">
        <v>1</v>
      </c>
      <c r="E28" s="73">
        <v>6</v>
      </c>
      <c r="F28" s="65" t="s">
        <v>53</v>
      </c>
      <c r="G28" s="64">
        <f t="shared" ref="G28:G31" si="17">4800*E28*D28</f>
        <v>28800</v>
      </c>
      <c r="H28" s="63"/>
      <c r="I28" s="72"/>
      <c r="J28" s="72"/>
    </row>
    <row r="29" spans="1:21" s="51" customFormat="1" ht="39" customHeight="1" x14ac:dyDescent="0.3">
      <c r="A29" s="60"/>
      <c r="B29" s="69" t="s">
        <v>50</v>
      </c>
      <c r="C29" s="62" t="s">
        <v>54</v>
      </c>
      <c r="D29" s="73">
        <v>1</v>
      </c>
      <c r="E29" s="73">
        <v>4</v>
      </c>
      <c r="F29" s="65" t="s">
        <v>55</v>
      </c>
      <c r="G29" s="64">
        <f t="shared" si="17"/>
        <v>19200</v>
      </c>
      <c r="H29" s="63"/>
      <c r="I29" s="72"/>
      <c r="J29" s="72"/>
    </row>
    <row r="30" spans="1:21" s="51" customFormat="1" ht="39" customHeight="1" x14ac:dyDescent="0.3">
      <c r="A30" s="60"/>
      <c r="B30" s="69" t="s">
        <v>50</v>
      </c>
      <c r="C30" s="62" t="s">
        <v>54</v>
      </c>
      <c r="D30" s="73">
        <v>1</v>
      </c>
      <c r="E30" s="63">
        <v>4</v>
      </c>
      <c r="F30" s="65" t="s">
        <v>53</v>
      </c>
      <c r="G30" s="64">
        <f t="shared" si="17"/>
        <v>19200</v>
      </c>
      <c r="H30" s="62"/>
      <c r="I30" s="74"/>
      <c r="J30" s="74"/>
    </row>
    <row r="31" spans="1:21" s="51" customFormat="1" ht="39" customHeight="1" x14ac:dyDescent="0.3">
      <c r="A31" s="60"/>
      <c r="B31" s="69" t="s">
        <v>50</v>
      </c>
      <c r="C31" s="62" t="s">
        <v>54</v>
      </c>
      <c r="D31" s="73">
        <v>1</v>
      </c>
      <c r="E31" s="63">
        <v>4</v>
      </c>
      <c r="F31" s="65" t="s">
        <v>56</v>
      </c>
      <c r="G31" s="64">
        <f t="shared" si="17"/>
        <v>19200</v>
      </c>
      <c r="H31" s="62"/>
      <c r="I31" s="74"/>
      <c r="J31" s="74"/>
    </row>
    <row r="32" spans="1:21" s="51" customFormat="1" x14ac:dyDescent="0.3">
      <c r="A32" s="52">
        <v>3</v>
      </c>
      <c r="B32" s="53" t="s">
        <v>57</v>
      </c>
      <c r="C32" s="54"/>
      <c r="D32" s="55">
        <f>D33+D36+D39+D42+D45</f>
        <v>20</v>
      </c>
      <c r="E32" s="55">
        <f>E33+E36+E39+E42+E45</f>
        <v>120</v>
      </c>
      <c r="F32" s="55">
        <f>F33+F36+F39+F42+F45</f>
        <v>0</v>
      </c>
      <c r="G32" s="76">
        <f>G33+G36+G39+G42+G45</f>
        <v>1152000</v>
      </c>
      <c r="H32" s="57"/>
      <c r="I32" s="68"/>
      <c r="J32" s="68"/>
    </row>
    <row r="33" spans="1:11" s="51" customFormat="1" x14ac:dyDescent="0.3">
      <c r="A33" s="60"/>
      <c r="B33" s="61" t="s">
        <v>4</v>
      </c>
      <c r="C33" s="69"/>
      <c r="D33" s="70">
        <f>SUM(D34:D35)</f>
        <v>4</v>
      </c>
      <c r="E33" s="70">
        <f>SUM(E34:E35)</f>
        <v>24</v>
      </c>
      <c r="F33" s="70">
        <f>SUM(F34:F35)</f>
        <v>0</v>
      </c>
      <c r="G33" s="77">
        <f>SUM(G34:G35)</f>
        <v>230400</v>
      </c>
      <c r="H33" s="63"/>
      <c r="I33" s="196">
        <v>24</v>
      </c>
      <c r="J33" s="72"/>
    </row>
    <row r="34" spans="1:11" s="51" customFormat="1" ht="27.6" x14ac:dyDescent="0.3">
      <c r="A34" s="60"/>
      <c r="B34" s="69"/>
      <c r="C34" s="62" t="s">
        <v>58</v>
      </c>
      <c r="D34" s="63">
        <v>2</v>
      </c>
      <c r="E34" s="63">
        <v>12</v>
      </c>
      <c r="F34" s="62" t="s">
        <v>59</v>
      </c>
      <c r="G34" s="64">
        <f>4800*E34*D34</f>
        <v>115200</v>
      </c>
      <c r="H34" s="62"/>
      <c r="I34" s="74">
        <v>12</v>
      </c>
      <c r="J34" s="74"/>
    </row>
    <row r="35" spans="1:11" s="51" customFormat="1" ht="27.6" x14ac:dyDescent="0.3">
      <c r="A35" s="60"/>
      <c r="B35" s="69"/>
      <c r="C35" s="62" t="s">
        <v>58</v>
      </c>
      <c r="D35" s="63">
        <v>2</v>
      </c>
      <c r="E35" s="63">
        <v>12</v>
      </c>
      <c r="F35" s="62" t="s">
        <v>60</v>
      </c>
      <c r="G35" s="64">
        <f t="shared" ref="G35" si="18">4800*E35*D35</f>
        <v>115200</v>
      </c>
      <c r="H35" s="62"/>
      <c r="I35" s="74">
        <v>12</v>
      </c>
      <c r="J35" s="74"/>
    </row>
    <row r="36" spans="1:11" s="51" customFormat="1" x14ac:dyDescent="0.3">
      <c r="A36" s="60"/>
      <c r="B36" s="61" t="s">
        <v>6</v>
      </c>
      <c r="C36" s="69"/>
      <c r="D36" s="70">
        <f>SUM(D37:D38)</f>
        <v>4</v>
      </c>
      <c r="E36" s="70">
        <f>SUM(E37:E38)</f>
        <v>24</v>
      </c>
      <c r="F36" s="70">
        <f>SUM(F37:F38)</f>
        <v>0</v>
      </c>
      <c r="G36" s="75">
        <f>SUM(G37:G38)</f>
        <v>230400</v>
      </c>
      <c r="H36" s="63"/>
      <c r="I36" s="196">
        <v>24</v>
      </c>
      <c r="J36" s="72"/>
    </row>
    <row r="37" spans="1:11" s="51" customFormat="1" ht="27.6" x14ac:dyDescent="0.3">
      <c r="A37" s="60"/>
      <c r="B37" s="69"/>
      <c r="C37" s="62" t="s">
        <v>58</v>
      </c>
      <c r="D37" s="63">
        <v>2</v>
      </c>
      <c r="E37" s="63">
        <v>12</v>
      </c>
      <c r="F37" s="62" t="s">
        <v>59</v>
      </c>
      <c r="G37" s="64">
        <f>4800*E37*D37</f>
        <v>115200</v>
      </c>
      <c r="H37" s="62"/>
      <c r="I37" s="74">
        <v>12</v>
      </c>
      <c r="J37" s="74"/>
    </row>
    <row r="38" spans="1:11" s="51" customFormat="1" ht="27.6" x14ac:dyDescent="0.3">
      <c r="A38" s="60"/>
      <c r="B38" s="69"/>
      <c r="C38" s="62" t="s">
        <v>58</v>
      </c>
      <c r="D38" s="63">
        <v>2</v>
      </c>
      <c r="E38" s="63">
        <v>12</v>
      </c>
      <c r="F38" s="62" t="s">
        <v>60</v>
      </c>
      <c r="G38" s="64">
        <f t="shared" ref="G38" si="19">4800*E38*D38</f>
        <v>115200</v>
      </c>
      <c r="H38" s="62"/>
      <c r="I38" s="74">
        <v>12</v>
      </c>
      <c r="J38" s="74"/>
    </row>
    <row r="39" spans="1:11" s="51" customFormat="1" x14ac:dyDescent="0.3">
      <c r="A39" s="60"/>
      <c r="B39" s="61" t="s">
        <v>7</v>
      </c>
      <c r="C39" s="69"/>
      <c r="D39" s="70">
        <f>SUM(D40:D41)</f>
        <v>4</v>
      </c>
      <c r="E39" s="70">
        <f>SUM(E40:E41)</f>
        <v>24</v>
      </c>
      <c r="F39" s="70">
        <f>SUM(F40:F41)</f>
        <v>0</v>
      </c>
      <c r="G39" s="75">
        <f>SUM(G40:G41)</f>
        <v>230400</v>
      </c>
      <c r="H39" s="63"/>
      <c r="I39" s="196">
        <v>24</v>
      </c>
      <c r="J39" s="72"/>
    </row>
    <row r="40" spans="1:11" s="51" customFormat="1" ht="27.6" x14ac:dyDescent="0.3">
      <c r="A40" s="60"/>
      <c r="B40" s="69"/>
      <c r="C40" s="62" t="s">
        <v>58</v>
      </c>
      <c r="D40" s="63">
        <v>2</v>
      </c>
      <c r="E40" s="63">
        <v>12</v>
      </c>
      <c r="F40" s="62" t="s">
        <v>59</v>
      </c>
      <c r="G40" s="64">
        <f>4800*E40*D40</f>
        <v>115200</v>
      </c>
      <c r="H40" s="62"/>
      <c r="I40" s="74">
        <v>12</v>
      </c>
      <c r="J40" s="74"/>
    </row>
    <row r="41" spans="1:11" s="51" customFormat="1" ht="27.6" x14ac:dyDescent="0.3">
      <c r="A41" s="60"/>
      <c r="B41" s="69"/>
      <c r="C41" s="62" t="s">
        <v>58</v>
      </c>
      <c r="D41" s="63">
        <v>2</v>
      </c>
      <c r="E41" s="63">
        <v>12</v>
      </c>
      <c r="F41" s="62" t="s">
        <v>60</v>
      </c>
      <c r="G41" s="64">
        <f t="shared" ref="G41" si="20">4800*E41*D41</f>
        <v>115200</v>
      </c>
      <c r="H41" s="62"/>
      <c r="I41" s="74">
        <v>12</v>
      </c>
      <c r="J41" s="74"/>
    </row>
    <row r="42" spans="1:11" s="51" customFormat="1" x14ac:dyDescent="0.3">
      <c r="A42" s="60"/>
      <c r="B42" s="61" t="s">
        <v>8</v>
      </c>
      <c r="C42" s="69"/>
      <c r="D42" s="70">
        <f>SUM(D43:D44)</f>
        <v>4</v>
      </c>
      <c r="E42" s="70">
        <f>SUM(E43:E44)</f>
        <v>24</v>
      </c>
      <c r="F42" s="61">
        <f>SUM(F43:F44)</f>
        <v>0</v>
      </c>
      <c r="G42" s="78">
        <f>SUM(G43:G44)</f>
        <v>230400</v>
      </c>
      <c r="H42" s="63"/>
      <c r="I42" s="196">
        <v>24</v>
      </c>
      <c r="J42" s="72"/>
    </row>
    <row r="43" spans="1:11" s="51" customFormat="1" ht="27.6" x14ac:dyDescent="0.3">
      <c r="A43" s="60"/>
      <c r="B43" s="69"/>
      <c r="C43" s="62" t="s">
        <v>58</v>
      </c>
      <c r="D43" s="63">
        <v>2</v>
      </c>
      <c r="E43" s="63">
        <v>12</v>
      </c>
      <c r="F43" s="62" t="s">
        <v>59</v>
      </c>
      <c r="G43" s="64">
        <f>4800*E43*D43</f>
        <v>115200</v>
      </c>
      <c r="H43" s="62"/>
      <c r="I43" s="74">
        <v>12</v>
      </c>
      <c r="J43" s="74"/>
    </row>
    <row r="44" spans="1:11" s="51" customFormat="1" ht="27.6" x14ac:dyDescent="0.3">
      <c r="A44" s="60"/>
      <c r="B44" s="69"/>
      <c r="C44" s="62" t="s">
        <v>58</v>
      </c>
      <c r="D44" s="63">
        <v>2</v>
      </c>
      <c r="E44" s="63">
        <v>12</v>
      </c>
      <c r="F44" s="62" t="s">
        <v>60</v>
      </c>
      <c r="G44" s="64">
        <f t="shared" ref="G44" si="21">4800*E44*D44</f>
        <v>115200</v>
      </c>
      <c r="H44" s="62"/>
      <c r="I44" s="74">
        <v>12</v>
      </c>
      <c r="J44" s="74"/>
    </row>
    <row r="45" spans="1:11" s="51" customFormat="1" x14ac:dyDescent="0.3">
      <c r="A45" s="60"/>
      <c r="B45" s="61" t="s">
        <v>9</v>
      </c>
      <c r="C45" s="69"/>
      <c r="D45" s="70">
        <f>SUM(D46:D47)</f>
        <v>4</v>
      </c>
      <c r="E45" s="70">
        <f>SUM(E46:E47)</f>
        <v>24</v>
      </c>
      <c r="F45" s="61">
        <f>SUM(F46:F47)</f>
        <v>0</v>
      </c>
      <c r="G45" s="78">
        <f>SUM(G46:G47)</f>
        <v>230400</v>
      </c>
      <c r="H45" s="63"/>
      <c r="I45" s="196">
        <v>24</v>
      </c>
      <c r="J45" s="72"/>
    </row>
    <row r="46" spans="1:11" s="51" customFormat="1" ht="27.6" x14ac:dyDescent="0.3">
      <c r="A46" s="60"/>
      <c r="B46" s="69"/>
      <c r="C46" s="62" t="s">
        <v>58</v>
      </c>
      <c r="D46" s="63">
        <v>2</v>
      </c>
      <c r="E46" s="63">
        <v>12</v>
      </c>
      <c r="F46" s="62" t="s">
        <v>59</v>
      </c>
      <c r="G46" s="64">
        <f t="shared" ref="G46" si="22">4800*E46*D46</f>
        <v>115200</v>
      </c>
      <c r="H46" s="62"/>
      <c r="I46" s="74">
        <v>12</v>
      </c>
      <c r="J46" s="74"/>
    </row>
    <row r="47" spans="1:11" s="51" customFormat="1" ht="27.6" x14ac:dyDescent="0.3">
      <c r="A47" s="60"/>
      <c r="B47" s="69"/>
      <c r="C47" s="62" t="s">
        <v>58</v>
      </c>
      <c r="D47" s="63">
        <v>2</v>
      </c>
      <c r="E47" s="63">
        <v>12</v>
      </c>
      <c r="F47" s="62" t="s">
        <v>60</v>
      </c>
      <c r="G47" s="64">
        <f>4800*E47*D47</f>
        <v>115200</v>
      </c>
      <c r="H47" s="62"/>
      <c r="I47" s="74">
        <v>12</v>
      </c>
      <c r="J47" s="74"/>
    </row>
    <row r="48" spans="1:11" s="51" customFormat="1" x14ac:dyDescent="0.3">
      <c r="A48" s="86">
        <v>4</v>
      </c>
      <c r="B48" s="84" t="s">
        <v>61</v>
      </c>
      <c r="C48" s="189"/>
      <c r="D48" s="55"/>
      <c r="E48" s="55"/>
      <c r="F48" s="55"/>
      <c r="G48" s="55"/>
      <c r="H48" s="190"/>
      <c r="I48" s="49"/>
      <c r="J48" s="49"/>
      <c r="K48" s="50"/>
    </row>
    <row r="49" spans="1:10" s="51" customFormat="1" x14ac:dyDescent="0.3">
      <c r="A49" s="60"/>
      <c r="B49" s="61" t="s">
        <v>4</v>
      </c>
      <c r="C49" s="69"/>
      <c r="D49" s="70">
        <f t="shared" ref="D49:G49" si="23">SUM(D50:D50)</f>
        <v>1</v>
      </c>
      <c r="E49" s="70">
        <f t="shared" si="23"/>
        <v>12</v>
      </c>
      <c r="F49" s="70">
        <v>1</v>
      </c>
      <c r="G49" s="70">
        <f t="shared" si="23"/>
        <v>57600</v>
      </c>
      <c r="H49" s="63"/>
      <c r="I49" s="72"/>
      <c r="J49" s="72"/>
    </row>
    <row r="50" spans="1:10" s="51" customFormat="1" ht="65.25" customHeight="1" x14ac:dyDescent="0.3">
      <c r="A50" s="60"/>
      <c r="B50" s="81" t="s">
        <v>61</v>
      </c>
      <c r="C50" s="62" t="s">
        <v>62</v>
      </c>
      <c r="D50" s="63">
        <v>1</v>
      </c>
      <c r="E50" s="63">
        <v>12</v>
      </c>
      <c r="F50" s="62" t="s">
        <v>63</v>
      </c>
      <c r="G50" s="64">
        <f t="shared" ref="G50" si="24">4800*E50*D50</f>
        <v>57600</v>
      </c>
      <c r="H50" s="62" t="s">
        <v>64</v>
      </c>
      <c r="I50" s="74"/>
      <c r="J50" s="74"/>
    </row>
    <row r="51" spans="1:10" s="51" customFormat="1" x14ac:dyDescent="0.3">
      <c r="A51" s="52">
        <v>5</v>
      </c>
      <c r="B51" s="53" t="s">
        <v>65</v>
      </c>
      <c r="C51" s="54"/>
      <c r="D51" s="55">
        <v>12</v>
      </c>
      <c r="E51" s="55">
        <v>67</v>
      </c>
      <c r="F51" s="55"/>
      <c r="G51" s="76">
        <v>384000</v>
      </c>
      <c r="H51" s="57"/>
      <c r="I51" s="68"/>
      <c r="J51" s="68"/>
    </row>
    <row r="52" spans="1:10" s="51" customFormat="1" x14ac:dyDescent="0.3">
      <c r="A52" s="60"/>
      <c r="B52" s="61" t="s">
        <v>4</v>
      </c>
      <c r="C52" s="69"/>
      <c r="D52" s="70">
        <v>2</v>
      </c>
      <c r="E52" s="70">
        <v>18</v>
      </c>
      <c r="F52" s="70"/>
      <c r="G52" s="82">
        <v>86400</v>
      </c>
      <c r="H52" s="63"/>
      <c r="I52" s="72"/>
      <c r="J52" s="72"/>
    </row>
    <row r="53" spans="1:10" s="51" customFormat="1" ht="41.4" x14ac:dyDescent="0.3">
      <c r="A53" s="60"/>
      <c r="B53" s="69"/>
      <c r="C53" s="62" t="s">
        <v>66</v>
      </c>
      <c r="D53" s="63">
        <v>1</v>
      </c>
      <c r="E53" s="63">
        <v>9</v>
      </c>
      <c r="F53" s="62" t="s">
        <v>63</v>
      </c>
      <c r="G53" s="64">
        <f t="shared" ref="G53:G54" si="25">4800*E53*D53</f>
        <v>43200</v>
      </c>
      <c r="H53" s="62"/>
      <c r="I53" s="74"/>
      <c r="J53" s="74"/>
    </row>
    <row r="54" spans="1:10" s="51" customFormat="1" ht="27.6" x14ac:dyDescent="0.3">
      <c r="A54" s="60"/>
      <c r="B54" s="69"/>
      <c r="C54" s="63" t="s">
        <v>67</v>
      </c>
      <c r="D54" s="63">
        <v>1</v>
      </c>
      <c r="E54" s="63">
        <v>9</v>
      </c>
      <c r="F54" s="62" t="s">
        <v>68</v>
      </c>
      <c r="G54" s="64">
        <f t="shared" si="25"/>
        <v>43200</v>
      </c>
      <c r="H54" s="62"/>
      <c r="I54" s="74"/>
      <c r="J54" s="74"/>
    </row>
    <row r="55" spans="1:10" s="51" customFormat="1" x14ac:dyDescent="0.3">
      <c r="A55" s="60"/>
      <c r="B55" s="61" t="s">
        <v>6</v>
      </c>
      <c r="C55" s="69"/>
      <c r="D55" s="70">
        <f>SUM(D56:D57)</f>
        <v>2</v>
      </c>
      <c r="E55" s="70">
        <f>SUM(E56:E57)</f>
        <v>18</v>
      </c>
      <c r="F55" s="70">
        <f>SUM(F56:F57)</f>
        <v>0</v>
      </c>
      <c r="G55" s="75">
        <f>SUM(G56:G57)</f>
        <v>86400</v>
      </c>
      <c r="H55" s="63"/>
      <c r="I55" s="72"/>
      <c r="J55" s="72"/>
    </row>
    <row r="56" spans="1:10" s="51" customFormat="1" ht="41.4" x14ac:dyDescent="0.3">
      <c r="A56" s="60"/>
      <c r="B56" s="69"/>
      <c r="C56" s="62" t="s">
        <v>66</v>
      </c>
      <c r="D56" s="63">
        <v>1</v>
      </c>
      <c r="E56" s="63">
        <v>9</v>
      </c>
      <c r="F56" s="62" t="s">
        <v>63</v>
      </c>
      <c r="G56" s="64">
        <f t="shared" ref="G56:G57" si="26">4800*E56*D56</f>
        <v>43200</v>
      </c>
      <c r="H56" s="62"/>
      <c r="I56" s="74"/>
      <c r="J56" s="74"/>
    </row>
    <row r="57" spans="1:10" s="51" customFormat="1" ht="27.6" x14ac:dyDescent="0.3">
      <c r="A57" s="60"/>
      <c r="B57" s="69"/>
      <c r="C57" s="63" t="s">
        <v>69</v>
      </c>
      <c r="D57" s="63">
        <v>1</v>
      </c>
      <c r="E57" s="63">
        <v>9</v>
      </c>
      <c r="F57" s="62" t="s">
        <v>68</v>
      </c>
      <c r="G57" s="64">
        <f t="shared" si="26"/>
        <v>43200</v>
      </c>
      <c r="H57" s="62"/>
      <c r="I57" s="74"/>
      <c r="J57" s="74"/>
    </row>
    <row r="58" spans="1:10" s="51" customFormat="1" x14ac:dyDescent="0.3">
      <c r="A58" s="60"/>
      <c r="B58" s="61" t="s">
        <v>7</v>
      </c>
      <c r="C58" s="69"/>
      <c r="D58" s="70">
        <f>SUM(D59:D60)</f>
        <v>2</v>
      </c>
      <c r="E58" s="70">
        <f>SUM(E59:E60)</f>
        <v>18</v>
      </c>
      <c r="F58" s="70">
        <f>SUM(F59:F60)</f>
        <v>0</v>
      </c>
      <c r="G58" s="75">
        <f>SUM(G59:G60)</f>
        <v>86400</v>
      </c>
      <c r="H58" s="63"/>
      <c r="I58" s="72"/>
      <c r="J58" s="72"/>
    </row>
    <row r="59" spans="1:10" s="51" customFormat="1" ht="41.4" x14ac:dyDescent="0.3">
      <c r="A59" s="60"/>
      <c r="B59" s="69"/>
      <c r="C59" s="62" t="s">
        <v>66</v>
      </c>
      <c r="D59" s="63">
        <v>1</v>
      </c>
      <c r="E59" s="63">
        <v>9</v>
      </c>
      <c r="F59" s="62" t="s">
        <v>63</v>
      </c>
      <c r="G59" s="64">
        <f t="shared" ref="G59:G60" si="27">4800*E59*D59</f>
        <v>43200</v>
      </c>
      <c r="H59" s="62"/>
      <c r="I59" s="74"/>
      <c r="J59" s="74"/>
    </row>
    <row r="60" spans="1:10" s="51" customFormat="1" ht="27.6" x14ac:dyDescent="0.3">
      <c r="A60" s="60"/>
      <c r="B60" s="69"/>
      <c r="C60" s="63" t="s">
        <v>70</v>
      </c>
      <c r="D60" s="63">
        <v>1</v>
      </c>
      <c r="E60" s="63">
        <v>9</v>
      </c>
      <c r="F60" s="62" t="s">
        <v>68</v>
      </c>
      <c r="G60" s="64">
        <f t="shared" si="27"/>
        <v>43200</v>
      </c>
      <c r="H60" s="62"/>
      <c r="I60" s="74"/>
      <c r="J60" s="74"/>
    </row>
    <row r="61" spans="1:10" s="51" customFormat="1" x14ac:dyDescent="0.3">
      <c r="A61" s="60"/>
      <c r="B61" s="61" t="s">
        <v>8</v>
      </c>
      <c r="C61" s="69"/>
      <c r="D61" s="70">
        <f>SUM(D62:D63)</f>
        <v>4</v>
      </c>
      <c r="E61" s="70">
        <f>SUM(E62:E63)</f>
        <v>11</v>
      </c>
      <c r="F61" s="61">
        <f>SUM(F62:F63)</f>
        <v>0</v>
      </c>
      <c r="G61" s="78">
        <f>SUM(G62:G63)</f>
        <v>105600</v>
      </c>
      <c r="H61" s="63"/>
      <c r="I61" s="196">
        <v>11</v>
      </c>
      <c r="J61" s="72"/>
    </row>
    <row r="62" spans="1:10" s="51" customFormat="1" ht="41.4" x14ac:dyDescent="0.3">
      <c r="A62" s="60"/>
      <c r="B62" s="69"/>
      <c r="C62" s="63" t="s">
        <v>66</v>
      </c>
      <c r="D62" s="63">
        <v>2</v>
      </c>
      <c r="E62" s="63">
        <v>2</v>
      </c>
      <c r="F62" s="62" t="s">
        <v>63</v>
      </c>
      <c r="G62" s="64">
        <f t="shared" ref="G62" si="28">4800*E62*D62</f>
        <v>19200</v>
      </c>
      <c r="H62" s="62"/>
      <c r="I62" s="74">
        <v>2</v>
      </c>
      <c r="J62" s="74"/>
    </row>
    <row r="63" spans="1:10" s="51" customFormat="1" ht="55.2" x14ac:dyDescent="0.3">
      <c r="A63" s="60"/>
      <c r="B63" s="69"/>
      <c r="C63" s="63" t="s">
        <v>71</v>
      </c>
      <c r="D63" s="63">
        <v>2</v>
      </c>
      <c r="E63" s="63">
        <v>9</v>
      </c>
      <c r="F63" s="62" t="s">
        <v>72</v>
      </c>
      <c r="G63" s="64">
        <f>4800*E63*D63</f>
        <v>86400</v>
      </c>
      <c r="H63" s="62"/>
      <c r="I63" s="74">
        <v>9</v>
      </c>
      <c r="J63" s="74"/>
    </row>
    <row r="64" spans="1:10" s="51" customFormat="1" x14ac:dyDescent="0.3">
      <c r="A64" s="60"/>
      <c r="B64" s="61" t="s">
        <v>9</v>
      </c>
      <c r="C64" s="69"/>
      <c r="D64" s="70">
        <f>SUM(D65:D65)</f>
        <v>2</v>
      </c>
      <c r="E64" s="70">
        <f>SUM(E65:E65)</f>
        <v>2</v>
      </c>
      <c r="F64" s="61">
        <f>SUM(F65:F65)</f>
        <v>0</v>
      </c>
      <c r="G64" s="78">
        <f>SUM(G65:G65)</f>
        <v>19200</v>
      </c>
      <c r="H64" s="63"/>
      <c r="I64" s="196">
        <v>2</v>
      </c>
      <c r="J64" s="72"/>
    </row>
    <row r="65" spans="1:10" s="51" customFormat="1" ht="55.2" x14ac:dyDescent="0.3">
      <c r="A65" s="60"/>
      <c r="B65" s="69"/>
      <c r="C65" s="63" t="s">
        <v>73</v>
      </c>
      <c r="D65" s="63">
        <v>2</v>
      </c>
      <c r="E65" s="63">
        <v>2</v>
      </c>
      <c r="F65" s="62" t="s">
        <v>72</v>
      </c>
      <c r="G65" s="64">
        <f t="shared" ref="G65" si="29">4800*E65*D65</f>
        <v>19200</v>
      </c>
      <c r="H65" s="62"/>
      <c r="I65" s="74">
        <v>2</v>
      </c>
      <c r="J65" s="74"/>
    </row>
    <row r="66" spans="1:10" s="88" customFormat="1" ht="49.5" customHeight="1" x14ac:dyDescent="0.3">
      <c r="A66" s="83">
        <v>6</v>
      </c>
      <c r="B66" s="84" t="s">
        <v>74</v>
      </c>
      <c r="C66" s="85"/>
      <c r="D66" s="86">
        <f>D67+D73+D79+D85+D91</f>
        <v>25</v>
      </c>
      <c r="E66" s="86">
        <f>E67+E73+E79+E85+E91</f>
        <v>150</v>
      </c>
      <c r="F66" s="86">
        <f>F67+F73+F79+F85+F91</f>
        <v>0</v>
      </c>
      <c r="G66" s="87">
        <f>G67+G73+G79+G85+G91</f>
        <v>720000</v>
      </c>
      <c r="H66" s="57"/>
      <c r="I66" s="68"/>
      <c r="J66" s="68"/>
    </row>
    <row r="67" spans="1:10" s="88" customFormat="1" ht="30.75" customHeight="1" x14ac:dyDescent="0.3">
      <c r="A67" s="89"/>
      <c r="B67" s="80" t="s">
        <v>4</v>
      </c>
      <c r="C67" s="81"/>
      <c r="D67" s="79">
        <f>SUM(D68:D72)</f>
        <v>5</v>
      </c>
      <c r="E67" s="79">
        <f>E68+E69+E70+E71+E72</f>
        <v>30</v>
      </c>
      <c r="F67" s="79">
        <f>SUM(F68:F72)</f>
        <v>0</v>
      </c>
      <c r="G67" s="90">
        <f>G68+G69+G70+G71+G72</f>
        <v>144000</v>
      </c>
      <c r="H67" s="63"/>
      <c r="I67" s="72"/>
      <c r="J67" s="72"/>
    </row>
    <row r="68" spans="1:10" s="88" customFormat="1" ht="63.75" customHeight="1" x14ac:dyDescent="0.3">
      <c r="A68" s="89"/>
      <c r="B68" s="81"/>
      <c r="C68" s="62" t="s">
        <v>75</v>
      </c>
      <c r="D68" s="63">
        <v>1</v>
      </c>
      <c r="E68" s="63">
        <v>6</v>
      </c>
      <c r="F68" s="62" t="s">
        <v>76</v>
      </c>
      <c r="G68" s="64">
        <f t="shared" ref="G68:G72" si="30">4800*E68*D68</f>
        <v>28800</v>
      </c>
      <c r="H68" s="62" t="s">
        <v>77</v>
      </c>
      <c r="I68" s="74"/>
      <c r="J68" s="74"/>
    </row>
    <row r="69" spans="1:10" s="88" customFormat="1" ht="50.25" customHeight="1" x14ac:dyDescent="0.3">
      <c r="A69" s="89"/>
      <c r="B69" s="81"/>
      <c r="C69" s="62" t="s">
        <v>75</v>
      </c>
      <c r="D69" s="63">
        <v>1</v>
      </c>
      <c r="E69" s="63">
        <v>6</v>
      </c>
      <c r="F69" s="62" t="s">
        <v>78</v>
      </c>
      <c r="G69" s="64">
        <f t="shared" si="30"/>
        <v>28800</v>
      </c>
      <c r="H69" s="62" t="s">
        <v>77</v>
      </c>
      <c r="I69" s="74"/>
      <c r="J69" s="74"/>
    </row>
    <row r="70" spans="1:10" s="88" customFormat="1" ht="52.5" customHeight="1" x14ac:dyDescent="0.3">
      <c r="A70" s="89"/>
      <c r="B70" s="81"/>
      <c r="C70" s="62" t="s">
        <v>75</v>
      </c>
      <c r="D70" s="63">
        <v>1</v>
      </c>
      <c r="E70" s="63">
        <v>6</v>
      </c>
      <c r="F70" s="62" t="s">
        <v>79</v>
      </c>
      <c r="G70" s="64">
        <f t="shared" si="30"/>
        <v>28800</v>
      </c>
      <c r="H70" s="62" t="s">
        <v>77</v>
      </c>
      <c r="I70" s="74"/>
      <c r="J70" s="74"/>
    </row>
    <row r="71" spans="1:10" s="88" customFormat="1" ht="52.5" customHeight="1" x14ac:dyDescent="0.3">
      <c r="A71" s="89"/>
      <c r="B71" s="81"/>
      <c r="C71" s="62" t="s">
        <v>75</v>
      </c>
      <c r="D71" s="63">
        <v>1</v>
      </c>
      <c r="E71" s="63">
        <v>6</v>
      </c>
      <c r="F71" s="62" t="s">
        <v>80</v>
      </c>
      <c r="G71" s="64">
        <f t="shared" si="30"/>
        <v>28800</v>
      </c>
      <c r="H71" s="62" t="s">
        <v>77</v>
      </c>
      <c r="I71" s="74"/>
      <c r="J71" s="74"/>
    </row>
    <row r="72" spans="1:10" s="88" customFormat="1" ht="51" customHeight="1" x14ac:dyDescent="0.3">
      <c r="A72" s="89" t="s">
        <v>81</v>
      </c>
      <c r="B72" s="81"/>
      <c r="C72" s="62" t="s">
        <v>75</v>
      </c>
      <c r="D72" s="63">
        <v>1</v>
      </c>
      <c r="E72" s="63">
        <v>6</v>
      </c>
      <c r="F72" s="62" t="s">
        <v>82</v>
      </c>
      <c r="G72" s="64">
        <f t="shared" si="30"/>
        <v>28800</v>
      </c>
      <c r="H72" s="62" t="s">
        <v>77</v>
      </c>
      <c r="I72" s="74"/>
      <c r="J72" s="74"/>
    </row>
    <row r="73" spans="1:10" s="88" customFormat="1" ht="44.25" customHeight="1" x14ac:dyDescent="0.3">
      <c r="A73" s="89"/>
      <c r="B73" s="80" t="s">
        <v>6</v>
      </c>
      <c r="C73" s="81"/>
      <c r="D73" s="79">
        <v>5</v>
      </c>
      <c r="E73" s="79">
        <f>E74+E75+E76+E77+E78</f>
        <v>30</v>
      </c>
      <c r="F73" s="79">
        <f>SUM(F78:F78)</f>
        <v>0</v>
      </c>
      <c r="G73" s="91">
        <f>G74+G75+G76+G77+G78</f>
        <v>144000</v>
      </c>
      <c r="H73" s="63"/>
      <c r="I73" s="72"/>
      <c r="J73" s="72"/>
    </row>
    <row r="74" spans="1:10" s="88" customFormat="1" ht="44.25" customHeight="1" x14ac:dyDescent="0.3">
      <c r="A74" s="89"/>
      <c r="B74" s="80"/>
      <c r="C74" s="62" t="s">
        <v>75</v>
      </c>
      <c r="D74" s="63">
        <v>1</v>
      </c>
      <c r="E74" s="63">
        <v>6</v>
      </c>
      <c r="F74" s="62" t="s">
        <v>76</v>
      </c>
      <c r="G74" s="64">
        <f t="shared" ref="G74:G78" si="31">4800*E74*D74</f>
        <v>28800</v>
      </c>
      <c r="H74" s="62" t="s">
        <v>77</v>
      </c>
      <c r="I74" s="74"/>
      <c r="J74" s="74"/>
    </row>
    <row r="75" spans="1:10" s="88" customFormat="1" ht="44.25" customHeight="1" x14ac:dyDescent="0.3">
      <c r="A75" s="89"/>
      <c r="B75" s="80"/>
      <c r="C75" s="62" t="s">
        <v>75</v>
      </c>
      <c r="D75" s="63">
        <v>1</v>
      </c>
      <c r="E75" s="63">
        <v>6</v>
      </c>
      <c r="F75" s="62" t="s">
        <v>78</v>
      </c>
      <c r="G75" s="64">
        <f t="shared" si="31"/>
        <v>28800</v>
      </c>
      <c r="H75" s="62" t="s">
        <v>77</v>
      </c>
      <c r="I75" s="74"/>
      <c r="J75" s="74"/>
    </row>
    <row r="76" spans="1:10" s="88" customFormat="1" ht="44.25" customHeight="1" x14ac:dyDescent="0.3">
      <c r="A76" s="89"/>
      <c r="B76" s="80"/>
      <c r="C76" s="62" t="s">
        <v>75</v>
      </c>
      <c r="D76" s="63">
        <v>1</v>
      </c>
      <c r="E76" s="63">
        <v>6</v>
      </c>
      <c r="F76" s="62" t="s">
        <v>79</v>
      </c>
      <c r="G76" s="64">
        <f t="shared" si="31"/>
        <v>28800</v>
      </c>
      <c r="H76" s="62" t="s">
        <v>77</v>
      </c>
      <c r="I76" s="74"/>
      <c r="J76" s="74"/>
    </row>
    <row r="77" spans="1:10" s="88" customFormat="1" ht="44.25" customHeight="1" x14ac:dyDescent="0.3">
      <c r="A77" s="89"/>
      <c r="B77" s="80"/>
      <c r="C77" s="62" t="s">
        <v>75</v>
      </c>
      <c r="D77" s="63">
        <v>1</v>
      </c>
      <c r="E77" s="63">
        <v>6</v>
      </c>
      <c r="F77" s="62" t="s">
        <v>80</v>
      </c>
      <c r="G77" s="64">
        <f t="shared" si="31"/>
        <v>28800</v>
      </c>
      <c r="H77" s="62" t="s">
        <v>77</v>
      </c>
      <c r="I77" s="74"/>
      <c r="J77" s="74"/>
    </row>
    <row r="78" spans="1:10" s="88" customFormat="1" ht="47.25" customHeight="1" x14ac:dyDescent="0.3">
      <c r="A78" s="89"/>
      <c r="B78" s="81"/>
      <c r="C78" s="62" t="s">
        <v>75</v>
      </c>
      <c r="D78" s="63">
        <v>1</v>
      </c>
      <c r="E78" s="63">
        <v>6</v>
      </c>
      <c r="F78" s="62" t="s">
        <v>82</v>
      </c>
      <c r="G78" s="64">
        <f t="shared" si="31"/>
        <v>28800</v>
      </c>
      <c r="H78" s="62" t="s">
        <v>77</v>
      </c>
      <c r="I78" s="74"/>
      <c r="J78" s="74"/>
    </row>
    <row r="79" spans="1:10" s="88" customFormat="1" ht="47.25" customHeight="1" x14ac:dyDescent="0.3">
      <c r="A79" s="89"/>
      <c r="B79" s="80" t="s">
        <v>7</v>
      </c>
      <c r="C79" s="81"/>
      <c r="D79" s="79">
        <v>5</v>
      </c>
      <c r="E79" s="79">
        <f>E80+E81+E82+E83+E84</f>
        <v>30</v>
      </c>
      <c r="F79" s="79">
        <f>SUM(F83:F84)</f>
        <v>0</v>
      </c>
      <c r="G79" s="91">
        <f>G80+G81+G82+G83+G84</f>
        <v>144000</v>
      </c>
      <c r="H79" s="63"/>
      <c r="I79" s="72"/>
      <c r="J79" s="72"/>
    </row>
    <row r="80" spans="1:10" s="88" customFormat="1" ht="47.25" customHeight="1" x14ac:dyDescent="0.3">
      <c r="A80" s="89"/>
      <c r="B80" s="80"/>
      <c r="C80" s="62" t="s">
        <v>75</v>
      </c>
      <c r="D80" s="63">
        <v>1</v>
      </c>
      <c r="E80" s="63">
        <v>6</v>
      </c>
      <c r="F80" s="62" t="s">
        <v>76</v>
      </c>
      <c r="G80" s="64">
        <f t="shared" ref="G80:G84" si="32">4800*E80*D80</f>
        <v>28800</v>
      </c>
      <c r="H80" s="62" t="s">
        <v>77</v>
      </c>
      <c r="I80" s="74"/>
      <c r="J80" s="74"/>
    </row>
    <row r="81" spans="1:10" s="88" customFormat="1" ht="47.25" customHeight="1" x14ac:dyDescent="0.3">
      <c r="A81" s="89"/>
      <c r="B81" s="80"/>
      <c r="C81" s="62" t="s">
        <v>75</v>
      </c>
      <c r="D81" s="63">
        <v>1</v>
      </c>
      <c r="E81" s="63">
        <v>6</v>
      </c>
      <c r="F81" s="62" t="s">
        <v>78</v>
      </c>
      <c r="G81" s="64">
        <f t="shared" si="32"/>
        <v>28800</v>
      </c>
      <c r="H81" s="62" t="s">
        <v>77</v>
      </c>
      <c r="I81" s="74"/>
      <c r="J81" s="74"/>
    </row>
    <row r="82" spans="1:10" s="88" customFormat="1" ht="47.25" customHeight="1" x14ac:dyDescent="0.3">
      <c r="A82" s="89"/>
      <c r="B82" s="80"/>
      <c r="C82" s="62" t="s">
        <v>75</v>
      </c>
      <c r="D82" s="63">
        <v>1</v>
      </c>
      <c r="E82" s="63">
        <v>6</v>
      </c>
      <c r="F82" s="62" t="s">
        <v>79</v>
      </c>
      <c r="G82" s="64">
        <f t="shared" si="32"/>
        <v>28800</v>
      </c>
      <c r="H82" s="62" t="s">
        <v>77</v>
      </c>
      <c r="I82" s="74"/>
      <c r="J82" s="74"/>
    </row>
    <row r="83" spans="1:10" s="88" customFormat="1" ht="47.25" customHeight="1" x14ac:dyDescent="0.3">
      <c r="A83" s="89"/>
      <c r="B83" s="81"/>
      <c r="C83" s="62" t="s">
        <v>75</v>
      </c>
      <c r="D83" s="63">
        <v>1</v>
      </c>
      <c r="E83" s="63">
        <v>6</v>
      </c>
      <c r="F83" s="62" t="s">
        <v>80</v>
      </c>
      <c r="G83" s="64">
        <f t="shared" si="32"/>
        <v>28800</v>
      </c>
      <c r="H83" s="62" t="s">
        <v>77</v>
      </c>
      <c r="I83" s="74"/>
      <c r="J83" s="74"/>
    </row>
    <row r="84" spans="1:10" s="88" customFormat="1" ht="47.25" customHeight="1" x14ac:dyDescent="0.3">
      <c r="A84" s="89"/>
      <c r="B84" s="81"/>
      <c r="C84" s="62" t="s">
        <v>75</v>
      </c>
      <c r="D84" s="63">
        <v>1</v>
      </c>
      <c r="E84" s="63">
        <v>6</v>
      </c>
      <c r="F84" s="62" t="s">
        <v>82</v>
      </c>
      <c r="G84" s="64">
        <f t="shared" si="32"/>
        <v>28800</v>
      </c>
      <c r="H84" s="62" t="s">
        <v>77</v>
      </c>
      <c r="I84" s="74"/>
      <c r="J84" s="74"/>
    </row>
    <row r="85" spans="1:10" s="88" customFormat="1" ht="47.25" customHeight="1" x14ac:dyDescent="0.3">
      <c r="A85" s="89"/>
      <c r="B85" s="80" t="s">
        <v>8</v>
      </c>
      <c r="C85" s="81"/>
      <c r="D85" s="79">
        <v>5</v>
      </c>
      <c r="E85" s="79">
        <f>E86+E87+E88+E89+E90</f>
        <v>30</v>
      </c>
      <c r="F85" s="80">
        <f>SUM(F88:F90)</f>
        <v>0</v>
      </c>
      <c r="G85" s="92">
        <f>G86+G87+G88+G89+G90</f>
        <v>144000</v>
      </c>
      <c r="H85" s="63"/>
      <c r="I85" s="72"/>
      <c r="J85" s="72"/>
    </row>
    <row r="86" spans="1:10" s="88" customFormat="1" ht="47.25" customHeight="1" x14ac:dyDescent="0.3">
      <c r="A86" s="89"/>
      <c r="B86" s="80"/>
      <c r="C86" s="62" t="s">
        <v>75</v>
      </c>
      <c r="D86" s="63">
        <v>1</v>
      </c>
      <c r="E86" s="63">
        <v>6</v>
      </c>
      <c r="F86" s="62" t="s">
        <v>76</v>
      </c>
      <c r="G86" s="64">
        <f t="shared" ref="G86:G90" si="33">4800*E86*D86</f>
        <v>28800</v>
      </c>
      <c r="H86" s="62" t="s">
        <v>77</v>
      </c>
      <c r="I86" s="74"/>
      <c r="J86" s="74"/>
    </row>
    <row r="87" spans="1:10" s="88" customFormat="1" ht="47.25" customHeight="1" x14ac:dyDescent="0.3">
      <c r="A87" s="89"/>
      <c r="B87" s="80"/>
      <c r="C87" s="62" t="s">
        <v>75</v>
      </c>
      <c r="D87" s="63">
        <v>1</v>
      </c>
      <c r="E87" s="63">
        <v>6</v>
      </c>
      <c r="F87" s="62" t="s">
        <v>78</v>
      </c>
      <c r="G87" s="64">
        <f t="shared" si="33"/>
        <v>28800</v>
      </c>
      <c r="H87" s="62" t="s">
        <v>77</v>
      </c>
      <c r="I87" s="74"/>
      <c r="J87" s="74"/>
    </row>
    <row r="88" spans="1:10" s="88" customFormat="1" ht="47.25" customHeight="1" x14ac:dyDescent="0.3">
      <c r="A88" s="89"/>
      <c r="B88" s="81"/>
      <c r="C88" s="62" t="s">
        <v>75</v>
      </c>
      <c r="D88" s="63">
        <v>1</v>
      </c>
      <c r="E88" s="63">
        <v>6</v>
      </c>
      <c r="F88" s="62" t="s">
        <v>79</v>
      </c>
      <c r="G88" s="64">
        <f t="shared" si="33"/>
        <v>28800</v>
      </c>
      <c r="H88" s="62" t="s">
        <v>77</v>
      </c>
      <c r="I88" s="74"/>
      <c r="J88" s="74"/>
    </row>
    <row r="89" spans="1:10" s="88" customFormat="1" ht="47.25" customHeight="1" x14ac:dyDescent="0.3">
      <c r="A89" s="89"/>
      <c r="B89" s="81"/>
      <c r="C89" s="62" t="s">
        <v>75</v>
      </c>
      <c r="D89" s="63">
        <v>1</v>
      </c>
      <c r="E89" s="63">
        <v>6</v>
      </c>
      <c r="F89" s="62" t="s">
        <v>80</v>
      </c>
      <c r="G89" s="64">
        <f t="shared" si="33"/>
        <v>28800</v>
      </c>
      <c r="H89" s="62" t="s">
        <v>77</v>
      </c>
      <c r="I89" s="74"/>
      <c r="J89" s="74"/>
    </row>
    <row r="90" spans="1:10" s="88" customFormat="1" ht="47.25" customHeight="1" x14ac:dyDescent="0.3">
      <c r="A90" s="89" t="s">
        <v>83</v>
      </c>
      <c r="B90" s="81"/>
      <c r="C90" s="62" t="s">
        <v>75</v>
      </c>
      <c r="D90" s="63">
        <v>1</v>
      </c>
      <c r="E90" s="63">
        <v>6</v>
      </c>
      <c r="F90" s="62" t="s">
        <v>82</v>
      </c>
      <c r="G90" s="64">
        <f t="shared" si="33"/>
        <v>28800</v>
      </c>
      <c r="H90" s="62" t="s">
        <v>77</v>
      </c>
      <c r="I90" s="74"/>
      <c r="J90" s="74"/>
    </row>
    <row r="91" spans="1:10" s="88" customFormat="1" ht="47.25" customHeight="1" x14ac:dyDescent="0.3">
      <c r="A91" s="89"/>
      <c r="B91" s="80" t="s">
        <v>9</v>
      </c>
      <c r="C91" s="81"/>
      <c r="D91" s="79">
        <v>5</v>
      </c>
      <c r="E91" s="79">
        <f>E92+E93+E94+E95+E96</f>
        <v>30</v>
      </c>
      <c r="F91" s="80">
        <f>SUM(F95:F96)</f>
        <v>0</v>
      </c>
      <c r="G91" s="92">
        <f>G92+G93+G94+G95+G96</f>
        <v>144000</v>
      </c>
      <c r="H91" s="63"/>
      <c r="I91" s="72"/>
      <c r="J91" s="72"/>
    </row>
    <row r="92" spans="1:10" s="88" customFormat="1" ht="47.25" customHeight="1" x14ac:dyDescent="0.3">
      <c r="A92" s="89"/>
      <c r="B92" s="80"/>
      <c r="C92" s="62" t="s">
        <v>75</v>
      </c>
      <c r="D92" s="63">
        <v>1</v>
      </c>
      <c r="E92" s="63">
        <v>6</v>
      </c>
      <c r="F92" s="62" t="s">
        <v>76</v>
      </c>
      <c r="G92" s="64">
        <f t="shared" ref="G92:G96" si="34">4800*E92*D92</f>
        <v>28800</v>
      </c>
      <c r="H92" s="62" t="s">
        <v>77</v>
      </c>
      <c r="I92" s="74"/>
      <c r="J92" s="74"/>
    </row>
    <row r="93" spans="1:10" s="88" customFormat="1" ht="47.25" customHeight="1" x14ac:dyDescent="0.3">
      <c r="A93" s="89"/>
      <c r="B93" s="80"/>
      <c r="C93" s="62" t="s">
        <v>75</v>
      </c>
      <c r="D93" s="63">
        <v>1</v>
      </c>
      <c r="E93" s="63">
        <v>6</v>
      </c>
      <c r="F93" s="62" t="s">
        <v>78</v>
      </c>
      <c r="G93" s="64">
        <f t="shared" si="34"/>
        <v>28800</v>
      </c>
      <c r="H93" s="62" t="s">
        <v>77</v>
      </c>
      <c r="I93" s="74"/>
      <c r="J93" s="74"/>
    </row>
    <row r="94" spans="1:10" s="88" customFormat="1" ht="47.25" customHeight="1" x14ac:dyDescent="0.3">
      <c r="A94" s="89"/>
      <c r="B94" s="80"/>
      <c r="C94" s="62" t="s">
        <v>75</v>
      </c>
      <c r="D94" s="63">
        <v>1</v>
      </c>
      <c r="E94" s="63">
        <v>6</v>
      </c>
      <c r="F94" s="62" t="s">
        <v>79</v>
      </c>
      <c r="G94" s="64">
        <f t="shared" si="34"/>
        <v>28800</v>
      </c>
      <c r="H94" s="62" t="s">
        <v>77</v>
      </c>
      <c r="I94" s="74"/>
      <c r="J94" s="74"/>
    </row>
    <row r="95" spans="1:10" s="88" customFormat="1" ht="47.25" customHeight="1" x14ac:dyDescent="0.3">
      <c r="A95" s="89"/>
      <c r="B95" s="81"/>
      <c r="C95" s="62" t="s">
        <v>75</v>
      </c>
      <c r="D95" s="63">
        <v>1</v>
      </c>
      <c r="E95" s="63">
        <v>6</v>
      </c>
      <c r="F95" s="62" t="s">
        <v>80</v>
      </c>
      <c r="G95" s="64">
        <f t="shared" si="34"/>
        <v>28800</v>
      </c>
      <c r="H95" s="62" t="s">
        <v>77</v>
      </c>
      <c r="I95" s="74"/>
      <c r="J95" s="74"/>
    </row>
    <row r="96" spans="1:10" s="88" customFormat="1" ht="47.25" customHeight="1" x14ac:dyDescent="0.3">
      <c r="A96" s="89"/>
      <c r="B96" s="81"/>
      <c r="C96" s="62" t="s">
        <v>75</v>
      </c>
      <c r="D96" s="63">
        <v>1</v>
      </c>
      <c r="E96" s="63">
        <v>6</v>
      </c>
      <c r="F96" s="62" t="s">
        <v>82</v>
      </c>
      <c r="G96" s="64">
        <f t="shared" si="34"/>
        <v>28800</v>
      </c>
      <c r="H96" s="62" t="s">
        <v>77</v>
      </c>
      <c r="I96" s="74"/>
      <c r="J96" s="74"/>
    </row>
    <row r="97" spans="1:10" s="51" customFormat="1" x14ac:dyDescent="0.3">
      <c r="A97" s="52">
        <v>7</v>
      </c>
      <c r="B97" s="53" t="s">
        <v>84</v>
      </c>
      <c r="C97" s="54"/>
      <c r="D97" s="55"/>
      <c r="E97" s="55"/>
      <c r="F97" s="55"/>
      <c r="G97" s="55"/>
      <c r="H97" s="57"/>
      <c r="I97" s="68"/>
      <c r="J97" s="68"/>
    </row>
    <row r="98" spans="1:10" s="51" customFormat="1" ht="18" customHeight="1" x14ac:dyDescent="0.3">
      <c r="A98" s="60"/>
      <c r="B98" s="61" t="s">
        <v>4</v>
      </c>
      <c r="C98" s="62"/>
      <c r="D98" s="79">
        <f>SUM(D99:D101)</f>
        <v>10</v>
      </c>
      <c r="E98" s="79">
        <f t="shared" ref="E98:G98" si="35">SUM(E99:E101)</f>
        <v>12</v>
      </c>
      <c r="F98" s="79">
        <f t="shared" si="35"/>
        <v>0</v>
      </c>
      <c r="G98" s="79">
        <f t="shared" si="35"/>
        <v>201600</v>
      </c>
      <c r="H98" s="62"/>
      <c r="I98" s="74"/>
      <c r="J98" s="74"/>
    </row>
    <row r="99" spans="1:10" s="51" customFormat="1" ht="27.6" x14ac:dyDescent="0.3">
      <c r="A99" s="60">
        <v>1</v>
      </c>
      <c r="B99" s="93" t="s">
        <v>85</v>
      </c>
      <c r="C99" s="63" t="s">
        <v>86</v>
      </c>
      <c r="D99" s="63">
        <v>4</v>
      </c>
      <c r="E99" s="63">
        <v>6</v>
      </c>
      <c r="F99" s="94" t="s">
        <v>87</v>
      </c>
      <c r="G99" s="64">
        <f t="shared" ref="G99" si="36">4800*E99*D99</f>
        <v>115200</v>
      </c>
      <c r="H99" s="62" t="s">
        <v>88</v>
      </c>
      <c r="I99" s="74">
        <v>18</v>
      </c>
      <c r="J99" s="74"/>
    </row>
    <row r="100" spans="1:10" s="51" customFormat="1" ht="27.6" x14ac:dyDescent="0.3">
      <c r="A100" s="60">
        <v>2</v>
      </c>
      <c r="B100" s="93" t="s">
        <v>89</v>
      </c>
      <c r="C100" s="63" t="s">
        <v>90</v>
      </c>
      <c r="D100" s="63">
        <v>4</v>
      </c>
      <c r="E100" s="63">
        <v>3</v>
      </c>
      <c r="F100" s="94" t="s">
        <v>87</v>
      </c>
      <c r="G100" s="64">
        <v>57600</v>
      </c>
      <c r="H100" s="62" t="s">
        <v>91</v>
      </c>
      <c r="I100" s="74">
        <v>9</v>
      </c>
      <c r="J100" s="74"/>
    </row>
    <row r="101" spans="1:10" s="51" customFormat="1" ht="27.6" x14ac:dyDescent="0.3">
      <c r="A101" s="60">
        <v>3</v>
      </c>
      <c r="B101" s="95" t="s">
        <v>92</v>
      </c>
      <c r="C101" s="63" t="s">
        <v>93</v>
      </c>
      <c r="D101" s="63">
        <v>2</v>
      </c>
      <c r="E101" s="63">
        <v>3</v>
      </c>
      <c r="F101" s="94" t="s">
        <v>87</v>
      </c>
      <c r="G101" s="64">
        <v>28800</v>
      </c>
      <c r="H101" s="62" t="s">
        <v>94</v>
      </c>
      <c r="I101" s="74">
        <v>3</v>
      </c>
      <c r="J101" s="74"/>
    </row>
    <row r="102" spans="1:10" s="51" customFormat="1" ht="28.2" x14ac:dyDescent="0.3">
      <c r="A102" s="52">
        <v>51</v>
      </c>
      <c r="B102" s="96" t="s">
        <v>95</v>
      </c>
      <c r="C102" s="54"/>
      <c r="D102" s="56">
        <f t="shared" ref="D102:F102" si="37">D103+D107+D111+D115+D119</f>
        <v>20</v>
      </c>
      <c r="E102" s="56">
        <f t="shared" si="37"/>
        <v>60</v>
      </c>
      <c r="F102" s="56">
        <f t="shared" si="37"/>
        <v>0</v>
      </c>
      <c r="G102" s="56">
        <f>G103+G107+G111+G115+G119</f>
        <v>810000</v>
      </c>
      <c r="H102" s="57"/>
      <c r="I102" s="68"/>
      <c r="J102" s="68"/>
    </row>
    <row r="103" spans="1:10" s="51" customFormat="1" x14ac:dyDescent="0.3">
      <c r="A103" s="60"/>
      <c r="B103" s="61" t="s">
        <v>4</v>
      </c>
      <c r="C103" s="69"/>
      <c r="D103" s="70">
        <f>SUM(D104:D106)</f>
        <v>4</v>
      </c>
      <c r="E103" s="70">
        <f>SUM(E104:E106)</f>
        <v>12</v>
      </c>
      <c r="F103" s="70">
        <f>SUM(F104:F106)</f>
        <v>0</v>
      </c>
      <c r="G103" s="71">
        <f>SUM(G104:G106)</f>
        <v>162000</v>
      </c>
      <c r="H103" s="63"/>
      <c r="I103" s="72"/>
      <c r="J103" s="72"/>
    </row>
    <row r="104" spans="1:10" s="51" customFormat="1" ht="41.4" x14ac:dyDescent="0.3">
      <c r="A104" s="60">
        <v>1</v>
      </c>
      <c r="B104" s="69" t="s">
        <v>96</v>
      </c>
      <c r="C104" s="62" t="s">
        <v>71</v>
      </c>
      <c r="D104" s="63">
        <v>2</v>
      </c>
      <c r="E104" s="63">
        <v>6</v>
      </c>
      <c r="F104" s="62" t="s">
        <v>97</v>
      </c>
      <c r="G104" s="64">
        <f>D104*E104*9000</f>
        <v>108000</v>
      </c>
      <c r="H104" s="62" t="s">
        <v>98</v>
      </c>
      <c r="I104" s="74">
        <v>6</v>
      </c>
      <c r="J104" s="74"/>
    </row>
    <row r="105" spans="1:10" s="51" customFormat="1" ht="41.4" x14ac:dyDescent="0.3">
      <c r="A105" s="60">
        <v>2</v>
      </c>
      <c r="B105" s="69" t="s">
        <v>96</v>
      </c>
      <c r="C105" s="63" t="s">
        <v>86</v>
      </c>
      <c r="D105" s="63">
        <v>1</v>
      </c>
      <c r="E105" s="63">
        <v>3</v>
      </c>
      <c r="F105" s="62" t="s">
        <v>99</v>
      </c>
      <c r="G105" s="64">
        <f t="shared" ref="G105:G106" si="38">D105*E105*9000</f>
        <v>27000</v>
      </c>
      <c r="H105" s="62" t="s">
        <v>98</v>
      </c>
      <c r="I105" s="74"/>
      <c r="J105" s="74"/>
    </row>
    <row r="106" spans="1:10" s="51" customFormat="1" ht="30" customHeight="1" x14ac:dyDescent="0.3">
      <c r="A106" s="60">
        <v>3</v>
      </c>
      <c r="B106" s="69" t="s">
        <v>96</v>
      </c>
      <c r="C106" s="63" t="s">
        <v>86</v>
      </c>
      <c r="D106" s="63">
        <v>1</v>
      </c>
      <c r="E106" s="63">
        <v>3</v>
      </c>
      <c r="F106" s="62" t="s">
        <v>100</v>
      </c>
      <c r="G106" s="64">
        <f t="shared" si="38"/>
        <v>27000</v>
      </c>
      <c r="H106" s="62" t="s">
        <v>98</v>
      </c>
      <c r="I106" s="74"/>
      <c r="J106" s="74"/>
    </row>
    <row r="107" spans="1:10" s="51" customFormat="1" x14ac:dyDescent="0.3">
      <c r="A107" s="60" t="s">
        <v>101</v>
      </c>
      <c r="B107" s="61" t="s">
        <v>6</v>
      </c>
      <c r="C107" s="69"/>
      <c r="D107" s="70">
        <f>SUM(D108:D110)</f>
        <v>4</v>
      </c>
      <c r="E107" s="70">
        <f>SUM(E108:E110)</f>
        <v>12</v>
      </c>
      <c r="F107" s="70">
        <f t="shared" ref="F107:G107" si="39">SUM(F108:F110)</f>
        <v>0</v>
      </c>
      <c r="G107" s="71">
        <f t="shared" si="39"/>
        <v>162000</v>
      </c>
      <c r="H107" s="63"/>
      <c r="I107" s="72"/>
      <c r="J107" s="72"/>
    </row>
    <row r="108" spans="1:10" s="51" customFormat="1" ht="41.4" x14ac:dyDescent="0.3">
      <c r="A108" s="60">
        <v>1</v>
      </c>
      <c r="B108" s="69" t="s">
        <v>96</v>
      </c>
      <c r="C108" s="62" t="s">
        <v>71</v>
      </c>
      <c r="D108" s="63">
        <v>1</v>
      </c>
      <c r="E108" s="63">
        <v>3</v>
      </c>
      <c r="F108" s="62" t="s">
        <v>97</v>
      </c>
      <c r="G108" s="64">
        <f>D108*E108*9000</f>
        <v>27000</v>
      </c>
      <c r="H108" s="62" t="s">
        <v>98</v>
      </c>
      <c r="I108" s="74"/>
      <c r="J108" s="74"/>
    </row>
    <row r="109" spans="1:10" s="51" customFormat="1" ht="41.4" x14ac:dyDescent="0.3">
      <c r="A109" s="60">
        <v>2</v>
      </c>
      <c r="B109" s="69" t="s">
        <v>96</v>
      </c>
      <c r="C109" s="63" t="s">
        <v>86</v>
      </c>
      <c r="D109" s="63">
        <v>2</v>
      </c>
      <c r="E109" s="63">
        <v>6</v>
      </c>
      <c r="F109" s="62" t="s">
        <v>99</v>
      </c>
      <c r="G109" s="64">
        <f t="shared" ref="G109:G114" si="40">D109*E109*9000</f>
        <v>108000</v>
      </c>
      <c r="H109" s="62" t="s">
        <v>98</v>
      </c>
      <c r="I109" s="74">
        <v>6</v>
      </c>
      <c r="J109" s="74"/>
    </row>
    <row r="110" spans="1:10" s="51" customFormat="1" ht="27.6" x14ac:dyDescent="0.3">
      <c r="A110" s="60">
        <v>3</v>
      </c>
      <c r="B110" s="69" t="s">
        <v>96</v>
      </c>
      <c r="C110" s="63" t="s">
        <v>86</v>
      </c>
      <c r="D110" s="63">
        <v>1</v>
      </c>
      <c r="E110" s="63">
        <v>3</v>
      </c>
      <c r="F110" s="62" t="s">
        <v>100</v>
      </c>
      <c r="G110" s="64">
        <f t="shared" si="40"/>
        <v>27000</v>
      </c>
      <c r="H110" s="62" t="s">
        <v>98</v>
      </c>
      <c r="I110" s="74"/>
      <c r="J110" s="74"/>
    </row>
    <row r="111" spans="1:10" s="51" customFormat="1" x14ac:dyDescent="0.3">
      <c r="A111" s="60" t="s">
        <v>102</v>
      </c>
      <c r="B111" s="61" t="s">
        <v>7</v>
      </c>
      <c r="C111" s="69"/>
      <c r="D111" s="70">
        <f>SUM(D112:D114)</f>
        <v>4</v>
      </c>
      <c r="E111" s="70">
        <f>SUM(E112:E114)</f>
        <v>12</v>
      </c>
      <c r="F111" s="70">
        <f>SUM(F112:F114)</f>
        <v>0</v>
      </c>
      <c r="G111" s="75">
        <f>SUM(G112:G114)</f>
        <v>162000</v>
      </c>
      <c r="H111" s="63"/>
      <c r="I111" s="72"/>
      <c r="J111" s="72"/>
    </row>
    <row r="112" spans="1:10" s="51" customFormat="1" ht="41.4" x14ac:dyDescent="0.3">
      <c r="A112" s="60">
        <v>1</v>
      </c>
      <c r="B112" s="69" t="s">
        <v>96</v>
      </c>
      <c r="C112" s="62" t="s">
        <v>71</v>
      </c>
      <c r="D112" s="63">
        <v>1</v>
      </c>
      <c r="E112" s="63">
        <v>3</v>
      </c>
      <c r="F112" s="62" t="s">
        <v>97</v>
      </c>
      <c r="G112" s="64">
        <f t="shared" si="40"/>
        <v>27000</v>
      </c>
      <c r="H112" s="62" t="s">
        <v>98</v>
      </c>
      <c r="I112" s="74"/>
      <c r="J112" s="74"/>
    </row>
    <row r="113" spans="1:10" s="51" customFormat="1" ht="41.4" x14ac:dyDescent="0.3">
      <c r="A113" s="60">
        <v>2</v>
      </c>
      <c r="B113" s="69" t="s">
        <v>96</v>
      </c>
      <c r="C113" s="63" t="s">
        <v>86</v>
      </c>
      <c r="D113" s="63">
        <v>1</v>
      </c>
      <c r="E113" s="63">
        <v>3</v>
      </c>
      <c r="F113" s="62" t="s">
        <v>99</v>
      </c>
      <c r="G113" s="64">
        <f t="shared" si="40"/>
        <v>27000</v>
      </c>
      <c r="H113" s="62" t="s">
        <v>98</v>
      </c>
      <c r="I113" s="74"/>
      <c r="J113" s="74"/>
    </row>
    <row r="114" spans="1:10" s="51" customFormat="1" ht="27.6" x14ac:dyDescent="0.3">
      <c r="A114" s="60">
        <v>3</v>
      </c>
      <c r="B114" s="69" t="s">
        <v>96</v>
      </c>
      <c r="C114" s="63" t="s">
        <v>86</v>
      </c>
      <c r="D114" s="63">
        <v>2</v>
      </c>
      <c r="E114" s="63">
        <v>6</v>
      </c>
      <c r="F114" s="62" t="s">
        <v>100</v>
      </c>
      <c r="G114" s="64">
        <f t="shared" si="40"/>
        <v>108000</v>
      </c>
      <c r="H114" s="62" t="s">
        <v>98</v>
      </c>
      <c r="I114" s="74">
        <v>6</v>
      </c>
      <c r="J114" s="74"/>
    </row>
    <row r="115" spans="1:10" s="51" customFormat="1" x14ac:dyDescent="0.3">
      <c r="A115" s="60" t="s">
        <v>103</v>
      </c>
      <c r="B115" s="61" t="s">
        <v>8</v>
      </c>
      <c r="C115" s="69"/>
      <c r="D115" s="70">
        <f>SUM(D116:D118)</f>
        <v>4</v>
      </c>
      <c r="E115" s="70">
        <f>SUM(E116:E118)</f>
        <v>12</v>
      </c>
      <c r="F115" s="61">
        <f>SUM(F116:F118)</f>
        <v>0</v>
      </c>
      <c r="G115" s="78">
        <f>SUM(G116:G118)</f>
        <v>162000</v>
      </c>
      <c r="H115" s="63"/>
      <c r="I115" s="72"/>
      <c r="J115" s="72"/>
    </row>
    <row r="116" spans="1:10" s="51" customFormat="1" ht="41.4" x14ac:dyDescent="0.3">
      <c r="A116" s="60">
        <v>1</v>
      </c>
      <c r="B116" s="69" t="s">
        <v>96</v>
      </c>
      <c r="C116" s="63" t="s">
        <v>71</v>
      </c>
      <c r="D116" s="63">
        <v>2</v>
      </c>
      <c r="E116" s="63">
        <v>6</v>
      </c>
      <c r="F116" s="62" t="s">
        <v>97</v>
      </c>
      <c r="G116" s="64">
        <f>D116*E116*9000</f>
        <v>108000</v>
      </c>
      <c r="H116" s="62" t="s">
        <v>98</v>
      </c>
      <c r="I116" s="74">
        <v>6</v>
      </c>
      <c r="J116" s="74"/>
    </row>
    <row r="117" spans="1:10" s="51" customFormat="1" ht="41.4" x14ac:dyDescent="0.3">
      <c r="A117" s="60">
        <v>2</v>
      </c>
      <c r="B117" s="69" t="s">
        <v>96</v>
      </c>
      <c r="C117" s="63" t="s">
        <v>86</v>
      </c>
      <c r="D117" s="63">
        <v>1</v>
      </c>
      <c r="E117" s="63">
        <v>3</v>
      </c>
      <c r="F117" s="62" t="s">
        <v>99</v>
      </c>
      <c r="G117" s="64">
        <f t="shared" ref="G117:G122" si="41">D117*E117*9000</f>
        <v>27000</v>
      </c>
      <c r="H117" s="62" t="s">
        <v>98</v>
      </c>
      <c r="I117" s="74"/>
      <c r="J117" s="74"/>
    </row>
    <row r="118" spans="1:10" s="51" customFormat="1" ht="27.6" x14ac:dyDescent="0.3">
      <c r="A118" s="60">
        <v>3</v>
      </c>
      <c r="B118" s="69" t="s">
        <v>96</v>
      </c>
      <c r="C118" s="63" t="s">
        <v>86</v>
      </c>
      <c r="D118" s="63">
        <v>1</v>
      </c>
      <c r="E118" s="63">
        <v>3</v>
      </c>
      <c r="F118" s="62" t="s">
        <v>100</v>
      </c>
      <c r="G118" s="64">
        <f t="shared" si="41"/>
        <v>27000</v>
      </c>
      <c r="H118" s="62" t="s">
        <v>98</v>
      </c>
      <c r="I118" s="74"/>
      <c r="J118" s="74"/>
    </row>
    <row r="119" spans="1:10" s="51" customFormat="1" x14ac:dyDescent="0.3">
      <c r="A119" s="60" t="s">
        <v>103</v>
      </c>
      <c r="B119" s="61" t="s">
        <v>9</v>
      </c>
      <c r="C119" s="69"/>
      <c r="D119" s="70">
        <f>SUM(D120:D122)</f>
        <v>4</v>
      </c>
      <c r="E119" s="70">
        <f>SUM(E120:E122)</f>
        <v>12</v>
      </c>
      <c r="F119" s="61">
        <f>SUM(F120:F122)</f>
        <v>0</v>
      </c>
      <c r="G119" s="78">
        <f>SUM(G120:G122)</f>
        <v>162000</v>
      </c>
      <c r="H119" s="63"/>
      <c r="I119" s="72"/>
      <c r="J119" s="72"/>
    </row>
    <row r="120" spans="1:10" s="51" customFormat="1" ht="41.4" x14ac:dyDescent="0.3">
      <c r="A120" s="60">
        <v>1</v>
      </c>
      <c r="B120" s="69" t="s">
        <v>96</v>
      </c>
      <c r="C120" s="63" t="s">
        <v>71</v>
      </c>
      <c r="D120" s="63">
        <v>1</v>
      </c>
      <c r="E120" s="63">
        <v>3</v>
      </c>
      <c r="F120" s="62" t="s">
        <v>97</v>
      </c>
      <c r="G120" s="64">
        <f t="shared" si="41"/>
        <v>27000</v>
      </c>
      <c r="H120" s="62" t="s">
        <v>98</v>
      </c>
      <c r="I120" s="74"/>
      <c r="J120" s="74"/>
    </row>
    <row r="121" spans="1:10" s="51" customFormat="1" ht="41.4" x14ac:dyDescent="0.3">
      <c r="A121" s="60">
        <v>2</v>
      </c>
      <c r="B121" s="69" t="s">
        <v>96</v>
      </c>
      <c r="C121" s="63" t="s">
        <v>86</v>
      </c>
      <c r="D121" s="63">
        <v>2</v>
      </c>
      <c r="E121" s="63">
        <v>6</v>
      </c>
      <c r="F121" s="62" t="s">
        <v>99</v>
      </c>
      <c r="G121" s="64">
        <f t="shared" si="41"/>
        <v>108000</v>
      </c>
      <c r="H121" s="62" t="s">
        <v>98</v>
      </c>
      <c r="I121" s="74">
        <v>6</v>
      </c>
      <c r="J121" s="74"/>
    </row>
    <row r="122" spans="1:10" s="51" customFormat="1" ht="27.6" x14ac:dyDescent="0.3">
      <c r="A122" s="60">
        <v>3</v>
      </c>
      <c r="B122" s="69" t="s">
        <v>96</v>
      </c>
      <c r="C122" s="63" t="s">
        <v>86</v>
      </c>
      <c r="D122" s="63">
        <v>1</v>
      </c>
      <c r="E122" s="63">
        <v>3</v>
      </c>
      <c r="F122" s="62" t="s">
        <v>100</v>
      </c>
      <c r="G122" s="64">
        <f t="shared" si="41"/>
        <v>27000</v>
      </c>
      <c r="H122" s="62" t="s">
        <v>98</v>
      </c>
      <c r="I122" s="74"/>
      <c r="J122" s="74"/>
    </row>
    <row r="123" spans="1:10" s="88" customFormat="1" ht="37.5" customHeight="1" x14ac:dyDescent="0.3">
      <c r="A123" s="83">
        <v>52</v>
      </c>
      <c r="B123" s="84" t="s">
        <v>104</v>
      </c>
      <c r="C123" s="57"/>
      <c r="D123" s="86">
        <f>D124+D125+D128+D131+D134</f>
        <v>8</v>
      </c>
      <c r="E123" s="86">
        <f>E124+E125+E128+E131+E134</f>
        <v>48</v>
      </c>
      <c r="F123" s="86">
        <f>F124+F125+F128+F131+F134</f>
        <v>0</v>
      </c>
      <c r="G123" s="97">
        <f>G124+G125+G128+G131+G134</f>
        <v>230400</v>
      </c>
      <c r="H123" s="57"/>
      <c r="I123" s="68"/>
      <c r="J123" s="68"/>
    </row>
    <row r="124" spans="1:10" ht="30" customHeight="1" x14ac:dyDescent="0.3">
      <c r="A124" s="60"/>
      <c r="B124" s="80" t="s">
        <v>4</v>
      </c>
      <c r="C124" s="63"/>
      <c r="D124" s="79">
        <v>0</v>
      </c>
      <c r="E124" s="79">
        <v>0</v>
      </c>
      <c r="F124" s="79">
        <v>0</v>
      </c>
      <c r="G124" s="79">
        <v>0</v>
      </c>
      <c r="H124" s="63"/>
      <c r="I124" s="72"/>
      <c r="J124" s="72"/>
    </row>
    <row r="125" spans="1:10" ht="30" customHeight="1" x14ac:dyDescent="0.3">
      <c r="A125" s="60"/>
      <c r="B125" s="80" t="s">
        <v>6</v>
      </c>
      <c r="C125" s="63"/>
      <c r="D125" s="79">
        <f>SUM(D126:D127)</f>
        <v>2</v>
      </c>
      <c r="E125" s="79">
        <f>SUM(E126:E127)</f>
        <v>12</v>
      </c>
      <c r="F125" s="79">
        <f>SUM(F126:F127)</f>
        <v>0</v>
      </c>
      <c r="G125" s="98">
        <f>SUM(G126:G127)</f>
        <v>57600</v>
      </c>
      <c r="H125" s="63"/>
      <c r="I125" s="72"/>
      <c r="J125" s="72"/>
    </row>
    <row r="126" spans="1:10" ht="43.5" customHeight="1" x14ac:dyDescent="0.3">
      <c r="A126" s="60"/>
      <c r="B126" s="81" t="s">
        <v>105</v>
      </c>
      <c r="C126" s="62" t="s">
        <v>71</v>
      </c>
      <c r="D126" s="63">
        <v>1</v>
      </c>
      <c r="E126" s="63">
        <v>6</v>
      </c>
      <c r="F126" s="62" t="s">
        <v>106</v>
      </c>
      <c r="G126" s="99">
        <f t="shared" ref="G126:G127" si="42">4800*E126*D126</f>
        <v>28800</v>
      </c>
      <c r="H126" s="62"/>
      <c r="I126" s="74"/>
      <c r="J126" s="74"/>
    </row>
    <row r="127" spans="1:10" ht="43.5" customHeight="1" x14ac:dyDescent="0.3">
      <c r="A127" s="60"/>
      <c r="B127" s="81" t="s">
        <v>107</v>
      </c>
      <c r="C127" s="62" t="s">
        <v>108</v>
      </c>
      <c r="D127" s="63">
        <v>1</v>
      </c>
      <c r="E127" s="63">
        <v>6</v>
      </c>
      <c r="F127" s="62" t="s">
        <v>105</v>
      </c>
      <c r="G127" s="99">
        <f t="shared" si="42"/>
        <v>28800</v>
      </c>
      <c r="H127" s="62"/>
      <c r="I127" s="74"/>
      <c r="J127" s="74"/>
    </row>
    <row r="128" spans="1:10" ht="30" customHeight="1" x14ac:dyDescent="0.3">
      <c r="A128" s="60"/>
      <c r="B128" s="80" t="s">
        <v>7</v>
      </c>
      <c r="C128" s="63"/>
      <c r="D128" s="79">
        <f>SUM(D129:D130)</f>
        <v>2</v>
      </c>
      <c r="E128" s="79">
        <f>SUM(E129:E130)</f>
        <v>12</v>
      </c>
      <c r="F128" s="79">
        <f>SUM(F129:F130)</f>
        <v>0</v>
      </c>
      <c r="G128" s="98">
        <f>SUM(G129:G130)</f>
        <v>57600</v>
      </c>
      <c r="H128" s="63"/>
      <c r="I128" s="72"/>
      <c r="J128" s="72"/>
    </row>
    <row r="129" spans="1:11" ht="40.5" customHeight="1" x14ac:dyDescent="0.3">
      <c r="A129" s="60"/>
      <c r="B129" s="81" t="s">
        <v>105</v>
      </c>
      <c r="C129" s="63" t="s">
        <v>86</v>
      </c>
      <c r="D129" s="63">
        <v>1</v>
      </c>
      <c r="E129" s="63">
        <v>6</v>
      </c>
      <c r="F129" s="62" t="s">
        <v>109</v>
      </c>
      <c r="G129" s="99">
        <f t="shared" ref="G129:G130" si="43">4800*E129*D129</f>
        <v>28800</v>
      </c>
      <c r="H129" s="62"/>
      <c r="I129" s="74"/>
      <c r="J129" s="74"/>
    </row>
    <row r="130" spans="1:11" ht="37.5" customHeight="1" x14ac:dyDescent="0.3">
      <c r="A130" s="60"/>
      <c r="B130" s="81" t="s">
        <v>110</v>
      </c>
      <c r="C130" s="62" t="s">
        <v>108</v>
      </c>
      <c r="D130" s="63">
        <v>1</v>
      </c>
      <c r="E130" s="63">
        <v>6</v>
      </c>
      <c r="F130" s="62" t="s">
        <v>105</v>
      </c>
      <c r="G130" s="99">
        <f t="shared" si="43"/>
        <v>28800</v>
      </c>
      <c r="H130" s="62"/>
      <c r="I130" s="74"/>
      <c r="J130" s="74"/>
    </row>
    <row r="131" spans="1:11" ht="27.75" customHeight="1" x14ac:dyDescent="0.3">
      <c r="A131" s="60"/>
      <c r="B131" s="80" t="s">
        <v>8</v>
      </c>
      <c r="C131" s="63"/>
      <c r="D131" s="79">
        <f>SUM(D132:D133)</f>
        <v>2</v>
      </c>
      <c r="E131" s="79">
        <f>SUM(E132:E133)</f>
        <v>12</v>
      </c>
      <c r="F131" s="79">
        <f>SUM(F132:F133)</f>
        <v>0</v>
      </c>
      <c r="G131" s="98">
        <f>SUM(G132:G133)</f>
        <v>57600</v>
      </c>
      <c r="H131" s="63"/>
      <c r="I131" s="72"/>
      <c r="J131" s="72"/>
    </row>
    <row r="132" spans="1:11" ht="45.75" customHeight="1" x14ac:dyDescent="0.3">
      <c r="A132" s="60"/>
      <c r="B132" s="81" t="s">
        <v>105</v>
      </c>
      <c r="C132" s="62" t="s">
        <v>66</v>
      </c>
      <c r="D132" s="63">
        <v>1</v>
      </c>
      <c r="E132" s="63">
        <v>6</v>
      </c>
      <c r="F132" s="62" t="s">
        <v>72</v>
      </c>
      <c r="G132" s="99">
        <f t="shared" ref="G132" si="44">4800*E132*D132</f>
        <v>28800</v>
      </c>
      <c r="H132" s="62"/>
      <c r="I132" s="74"/>
      <c r="J132" s="74"/>
    </row>
    <row r="133" spans="1:11" ht="39.75" customHeight="1" x14ac:dyDescent="0.3">
      <c r="A133" s="60"/>
      <c r="B133" s="81" t="s">
        <v>111</v>
      </c>
      <c r="C133" s="62" t="s">
        <v>108</v>
      </c>
      <c r="D133" s="63">
        <v>1</v>
      </c>
      <c r="E133" s="63">
        <v>6</v>
      </c>
      <c r="F133" s="62" t="s">
        <v>105</v>
      </c>
      <c r="G133" s="99">
        <f>4800*E133*D133</f>
        <v>28800</v>
      </c>
      <c r="H133" s="62"/>
      <c r="I133" s="74"/>
      <c r="J133" s="74"/>
    </row>
    <row r="134" spans="1:11" ht="30" customHeight="1" x14ac:dyDescent="0.3">
      <c r="A134" s="60"/>
      <c r="B134" s="80" t="s">
        <v>9</v>
      </c>
      <c r="C134" s="63"/>
      <c r="D134" s="79">
        <f>D135+D136</f>
        <v>2</v>
      </c>
      <c r="E134" s="79">
        <f t="shared" ref="E134:G134" si="45">E135+E136</f>
        <v>12</v>
      </c>
      <c r="F134" s="79"/>
      <c r="G134" s="79">
        <f t="shared" si="45"/>
        <v>57600</v>
      </c>
      <c r="H134" s="63"/>
      <c r="I134" s="72"/>
      <c r="J134" s="72"/>
    </row>
    <row r="135" spans="1:11" ht="41.25" customHeight="1" x14ac:dyDescent="0.3">
      <c r="A135" s="60"/>
      <c r="B135" s="81" t="s">
        <v>105</v>
      </c>
      <c r="C135" s="63" t="s">
        <v>112</v>
      </c>
      <c r="D135" s="63">
        <v>1</v>
      </c>
      <c r="E135" s="63">
        <v>6</v>
      </c>
      <c r="F135" s="62" t="s">
        <v>72</v>
      </c>
      <c r="G135" s="99">
        <f t="shared" ref="G135" si="46">4800*E135*D135</f>
        <v>28800</v>
      </c>
      <c r="H135" s="62"/>
      <c r="I135" s="74"/>
      <c r="J135" s="74"/>
    </row>
    <row r="136" spans="1:11" ht="38.25" customHeight="1" x14ac:dyDescent="0.3">
      <c r="A136" s="60"/>
      <c r="B136" s="81" t="s">
        <v>113</v>
      </c>
      <c r="C136" s="62" t="s">
        <v>108</v>
      </c>
      <c r="D136" s="63">
        <v>1</v>
      </c>
      <c r="E136" s="63">
        <v>6</v>
      </c>
      <c r="F136" s="62" t="s">
        <v>105</v>
      </c>
      <c r="G136" s="99">
        <f>4800*E136*D136</f>
        <v>28800</v>
      </c>
      <c r="H136" s="62"/>
      <c r="I136" s="74"/>
      <c r="J136" s="74"/>
    </row>
    <row r="137" spans="1:11" s="51" customFormat="1" ht="36" customHeight="1" x14ac:dyDescent="0.3">
      <c r="A137" s="100">
        <v>54</v>
      </c>
      <c r="B137" s="673" t="s">
        <v>114</v>
      </c>
      <c r="C137" s="674"/>
      <c r="D137" s="101">
        <f>D138+D143+D148+D151+D154</f>
        <v>13</v>
      </c>
      <c r="E137" s="101">
        <f t="shared" ref="E137:G137" si="47">E138+E143+E148+E151+E154</f>
        <v>39</v>
      </c>
      <c r="F137" s="101">
        <f t="shared" si="47"/>
        <v>0</v>
      </c>
      <c r="G137" s="102">
        <f t="shared" si="47"/>
        <v>187200</v>
      </c>
      <c r="H137" s="103"/>
      <c r="I137" s="104"/>
      <c r="J137" s="104"/>
      <c r="K137" s="50"/>
    </row>
    <row r="138" spans="1:11" s="51" customFormat="1" ht="15.6" x14ac:dyDescent="0.3">
      <c r="A138" s="105"/>
      <c r="B138" s="106" t="s">
        <v>4</v>
      </c>
      <c r="C138" s="107"/>
      <c r="D138" s="106">
        <f>SUM(D139:D141)</f>
        <v>3</v>
      </c>
      <c r="E138" s="106">
        <f>SUM(E139:E141)</f>
        <v>9</v>
      </c>
      <c r="F138" s="106">
        <f>SUM(F139:F141)</f>
        <v>0</v>
      </c>
      <c r="G138" s="108">
        <f>SUM(G139:G141)</f>
        <v>43200</v>
      </c>
      <c r="H138" s="109"/>
      <c r="I138" s="110"/>
      <c r="J138" s="110"/>
    </row>
    <row r="139" spans="1:11" s="51" customFormat="1" ht="46.8" x14ac:dyDescent="0.3">
      <c r="A139" s="105"/>
      <c r="B139" s="111" t="s">
        <v>115</v>
      </c>
      <c r="C139" s="112" t="s">
        <v>116</v>
      </c>
      <c r="D139" s="109">
        <v>1</v>
      </c>
      <c r="E139" s="109">
        <v>3</v>
      </c>
      <c r="F139" s="112" t="s">
        <v>106</v>
      </c>
      <c r="G139" s="113">
        <f t="shared" ref="G139:G142" si="48">4800*E139*D139</f>
        <v>14400</v>
      </c>
      <c r="H139" s="112"/>
      <c r="I139" s="114"/>
      <c r="J139" s="114"/>
    </row>
    <row r="140" spans="1:11" s="51" customFormat="1" ht="46.8" x14ac:dyDescent="0.3">
      <c r="A140" s="105"/>
      <c r="B140" s="111" t="s">
        <v>115</v>
      </c>
      <c r="C140" s="109" t="s">
        <v>117</v>
      </c>
      <c r="D140" s="109">
        <v>1</v>
      </c>
      <c r="E140" s="109">
        <v>3</v>
      </c>
      <c r="F140" s="112" t="s">
        <v>106</v>
      </c>
      <c r="G140" s="113">
        <f t="shared" si="48"/>
        <v>14400</v>
      </c>
      <c r="H140" s="112"/>
      <c r="I140" s="114"/>
      <c r="J140" s="114"/>
    </row>
    <row r="141" spans="1:11" s="51" customFormat="1" ht="46.8" x14ac:dyDescent="0.3">
      <c r="A141" s="105"/>
      <c r="B141" s="111" t="s">
        <v>115</v>
      </c>
      <c r="C141" s="109" t="s">
        <v>118</v>
      </c>
      <c r="D141" s="109">
        <v>1</v>
      </c>
      <c r="E141" s="109">
        <v>3</v>
      </c>
      <c r="F141" s="112" t="s">
        <v>106</v>
      </c>
      <c r="G141" s="113">
        <f t="shared" si="48"/>
        <v>14400</v>
      </c>
      <c r="H141" s="112"/>
      <c r="I141" s="114"/>
      <c r="J141" s="114"/>
    </row>
    <row r="142" spans="1:11" s="51" customFormat="1" ht="46.8" x14ac:dyDescent="0.3">
      <c r="A142" s="105"/>
      <c r="B142" s="111" t="s">
        <v>115</v>
      </c>
      <c r="C142" s="109" t="s">
        <v>119</v>
      </c>
      <c r="D142" s="109">
        <v>1</v>
      </c>
      <c r="E142" s="109">
        <v>3</v>
      </c>
      <c r="F142" s="112" t="s">
        <v>106</v>
      </c>
      <c r="G142" s="113">
        <f t="shared" si="48"/>
        <v>14400</v>
      </c>
      <c r="H142" s="112"/>
      <c r="I142" s="114"/>
      <c r="J142" s="114"/>
    </row>
    <row r="143" spans="1:11" s="51" customFormat="1" ht="15.6" x14ac:dyDescent="0.3">
      <c r="A143" s="105"/>
      <c r="B143" s="106" t="s">
        <v>6</v>
      </c>
      <c r="C143" s="107"/>
      <c r="D143" s="106">
        <f>SUM(D144:D147)</f>
        <v>4</v>
      </c>
      <c r="E143" s="106">
        <f>SUM(E144:E147)</f>
        <v>12</v>
      </c>
      <c r="F143" s="106">
        <f>SUM(F144:F147)</f>
        <v>0</v>
      </c>
      <c r="G143" s="115">
        <f>SUM(G144:G147)</f>
        <v>57600</v>
      </c>
      <c r="H143" s="109"/>
      <c r="I143" s="110"/>
      <c r="J143" s="110"/>
    </row>
    <row r="144" spans="1:11" s="51" customFormat="1" ht="46.8" x14ac:dyDescent="0.3">
      <c r="A144" s="105"/>
      <c r="B144" s="111" t="s">
        <v>115</v>
      </c>
      <c r="C144" s="112" t="s">
        <v>116</v>
      </c>
      <c r="D144" s="109">
        <v>1</v>
      </c>
      <c r="E144" s="109">
        <v>3</v>
      </c>
      <c r="F144" s="112" t="s">
        <v>106</v>
      </c>
      <c r="G144" s="113">
        <f t="shared" ref="G144:G147" si="49">4800*E144*D144</f>
        <v>14400</v>
      </c>
      <c r="H144" s="112"/>
      <c r="I144" s="114"/>
      <c r="J144" s="114"/>
    </row>
    <row r="145" spans="1:10" s="51" customFormat="1" ht="46.8" x14ac:dyDescent="0.3">
      <c r="A145" s="105"/>
      <c r="B145" s="111" t="s">
        <v>115</v>
      </c>
      <c r="C145" s="109" t="s">
        <v>117</v>
      </c>
      <c r="D145" s="109">
        <v>1</v>
      </c>
      <c r="E145" s="109">
        <v>3</v>
      </c>
      <c r="F145" s="112" t="s">
        <v>106</v>
      </c>
      <c r="G145" s="113">
        <f t="shared" si="49"/>
        <v>14400</v>
      </c>
      <c r="H145" s="112"/>
      <c r="I145" s="114"/>
      <c r="J145" s="114"/>
    </row>
    <row r="146" spans="1:10" s="51" customFormat="1" ht="46.8" x14ac:dyDescent="0.3">
      <c r="A146" s="105"/>
      <c r="B146" s="111" t="s">
        <v>115</v>
      </c>
      <c r="C146" s="109" t="s">
        <v>118</v>
      </c>
      <c r="D146" s="109">
        <v>1</v>
      </c>
      <c r="E146" s="109">
        <v>3</v>
      </c>
      <c r="F146" s="112" t="s">
        <v>106</v>
      </c>
      <c r="G146" s="113">
        <f t="shared" si="49"/>
        <v>14400</v>
      </c>
      <c r="H146" s="112"/>
      <c r="I146" s="114"/>
      <c r="J146" s="114"/>
    </row>
    <row r="147" spans="1:10" s="51" customFormat="1" ht="46.8" x14ac:dyDescent="0.3">
      <c r="A147" s="105"/>
      <c r="B147" s="111" t="s">
        <v>115</v>
      </c>
      <c r="C147" s="109" t="s">
        <v>119</v>
      </c>
      <c r="D147" s="109">
        <v>1</v>
      </c>
      <c r="E147" s="109">
        <v>3</v>
      </c>
      <c r="F147" s="112" t="s">
        <v>106</v>
      </c>
      <c r="G147" s="113">
        <f t="shared" si="49"/>
        <v>14400</v>
      </c>
      <c r="H147" s="112"/>
      <c r="I147" s="114"/>
      <c r="J147" s="114"/>
    </row>
    <row r="148" spans="1:10" s="51" customFormat="1" ht="15.6" x14ac:dyDescent="0.3">
      <c r="A148" s="105"/>
      <c r="B148" s="106" t="s">
        <v>7</v>
      </c>
      <c r="C148" s="107"/>
      <c r="D148" s="106">
        <f>SUM(D149:D150)</f>
        <v>2</v>
      </c>
      <c r="E148" s="106">
        <f>SUM(E149:E150)</f>
        <v>6</v>
      </c>
      <c r="F148" s="106">
        <f>SUM(F149:F150)</f>
        <v>0</v>
      </c>
      <c r="G148" s="115">
        <f>SUM(G149:G150)</f>
        <v>28800</v>
      </c>
      <c r="H148" s="109"/>
      <c r="I148" s="110"/>
      <c r="J148" s="110"/>
    </row>
    <row r="149" spans="1:10" s="51" customFormat="1" ht="46.8" x14ac:dyDescent="0.3">
      <c r="A149" s="105"/>
      <c r="B149" s="111" t="s">
        <v>115</v>
      </c>
      <c r="C149" s="109" t="s">
        <v>117</v>
      </c>
      <c r="D149" s="109">
        <v>1</v>
      </c>
      <c r="E149" s="109">
        <v>3</v>
      </c>
      <c r="F149" s="112" t="s">
        <v>106</v>
      </c>
      <c r="G149" s="113">
        <f t="shared" ref="G149:G150" si="50">4800*E149*D149</f>
        <v>14400</v>
      </c>
      <c r="H149" s="112"/>
      <c r="I149" s="114"/>
      <c r="J149" s="114"/>
    </row>
    <row r="150" spans="1:10" s="51" customFormat="1" ht="46.8" x14ac:dyDescent="0.3">
      <c r="A150" s="105"/>
      <c r="B150" s="111" t="s">
        <v>115</v>
      </c>
      <c r="C150" s="109" t="s">
        <v>118</v>
      </c>
      <c r="D150" s="109">
        <v>1</v>
      </c>
      <c r="E150" s="109">
        <v>3</v>
      </c>
      <c r="F150" s="112" t="s">
        <v>106</v>
      </c>
      <c r="G150" s="113">
        <f t="shared" si="50"/>
        <v>14400</v>
      </c>
      <c r="H150" s="112"/>
      <c r="I150" s="114"/>
      <c r="J150" s="114"/>
    </row>
    <row r="151" spans="1:10" s="51" customFormat="1" ht="15.6" x14ac:dyDescent="0.3">
      <c r="A151" s="105"/>
      <c r="B151" s="106" t="s">
        <v>8</v>
      </c>
      <c r="C151" s="107"/>
      <c r="D151" s="106">
        <f>SUM(D152:D153)</f>
        <v>2</v>
      </c>
      <c r="E151" s="106">
        <f>SUM(E152:E153)</f>
        <v>6</v>
      </c>
      <c r="F151" s="116">
        <f>SUM(F152:F153)</f>
        <v>0</v>
      </c>
      <c r="G151" s="117">
        <f>SUM(G152:G153)</f>
        <v>28800</v>
      </c>
      <c r="H151" s="109"/>
      <c r="I151" s="110"/>
      <c r="J151" s="110"/>
    </row>
    <row r="152" spans="1:10" s="51" customFormat="1" ht="46.8" x14ac:dyDescent="0.3">
      <c r="A152" s="105"/>
      <c r="B152" s="111" t="s">
        <v>115</v>
      </c>
      <c r="C152" s="109" t="s">
        <v>117</v>
      </c>
      <c r="D152" s="109">
        <v>1</v>
      </c>
      <c r="E152" s="109">
        <v>3</v>
      </c>
      <c r="F152" s="112" t="s">
        <v>106</v>
      </c>
      <c r="G152" s="113">
        <f t="shared" ref="G152:G153" si="51">4800*E152*D152</f>
        <v>14400</v>
      </c>
      <c r="H152" s="112"/>
      <c r="I152" s="114"/>
      <c r="J152" s="114"/>
    </row>
    <row r="153" spans="1:10" s="51" customFormat="1" ht="46.8" x14ac:dyDescent="0.3">
      <c r="A153" s="105"/>
      <c r="B153" s="111" t="s">
        <v>115</v>
      </c>
      <c r="C153" s="109" t="s">
        <v>118</v>
      </c>
      <c r="D153" s="109">
        <v>1</v>
      </c>
      <c r="E153" s="109">
        <v>3</v>
      </c>
      <c r="F153" s="112" t="s">
        <v>106</v>
      </c>
      <c r="G153" s="113">
        <f t="shared" si="51"/>
        <v>14400</v>
      </c>
      <c r="H153" s="112"/>
      <c r="I153" s="114"/>
      <c r="J153" s="114"/>
    </row>
    <row r="154" spans="1:10" s="51" customFormat="1" ht="15.6" x14ac:dyDescent="0.3">
      <c r="A154" s="105"/>
      <c r="B154" s="106" t="s">
        <v>9</v>
      </c>
      <c r="C154" s="107"/>
      <c r="D154" s="106">
        <f>SUM(D155:D156)</f>
        <v>2</v>
      </c>
      <c r="E154" s="106">
        <f>SUM(E155:E156)</f>
        <v>6</v>
      </c>
      <c r="F154" s="116">
        <f>SUM(F155:F156)</f>
        <v>0</v>
      </c>
      <c r="G154" s="117">
        <f>SUM(G155:G156)</f>
        <v>28800</v>
      </c>
      <c r="H154" s="109"/>
      <c r="I154" s="110"/>
      <c r="J154" s="110"/>
    </row>
    <row r="155" spans="1:10" s="51" customFormat="1" ht="46.8" x14ac:dyDescent="0.3">
      <c r="A155" s="105"/>
      <c r="B155" s="111" t="s">
        <v>115</v>
      </c>
      <c r="C155" s="109" t="s">
        <v>117</v>
      </c>
      <c r="D155" s="109">
        <v>1</v>
      </c>
      <c r="E155" s="109">
        <v>3</v>
      </c>
      <c r="F155" s="112" t="s">
        <v>106</v>
      </c>
      <c r="G155" s="113">
        <f t="shared" ref="G155:G156" si="52">4800*E155*D155</f>
        <v>14400</v>
      </c>
      <c r="H155" s="112"/>
      <c r="I155" s="114"/>
      <c r="J155" s="114"/>
    </row>
    <row r="156" spans="1:10" s="51" customFormat="1" ht="46.8" x14ac:dyDescent="0.3">
      <c r="A156" s="105"/>
      <c r="B156" s="111" t="s">
        <v>115</v>
      </c>
      <c r="C156" s="109" t="s">
        <v>118</v>
      </c>
      <c r="D156" s="109">
        <v>1</v>
      </c>
      <c r="E156" s="109">
        <v>3</v>
      </c>
      <c r="F156" s="112" t="s">
        <v>106</v>
      </c>
      <c r="G156" s="113">
        <f t="shared" si="52"/>
        <v>14400</v>
      </c>
      <c r="H156" s="112"/>
      <c r="I156" s="114"/>
      <c r="J156" s="114"/>
    </row>
    <row r="157" spans="1:10" s="51" customFormat="1" x14ac:dyDescent="0.3">
      <c r="A157" s="52">
        <v>56</v>
      </c>
      <c r="B157" s="53" t="s">
        <v>120</v>
      </c>
      <c r="C157" s="54"/>
      <c r="D157" s="55"/>
      <c r="E157" s="55"/>
      <c r="F157" s="55"/>
      <c r="G157" s="55"/>
      <c r="H157" s="57"/>
      <c r="I157" s="68"/>
      <c r="J157" s="68"/>
    </row>
    <row r="158" spans="1:10" s="51" customFormat="1" x14ac:dyDescent="0.3">
      <c r="A158" s="60"/>
      <c r="B158" s="61" t="s">
        <v>4</v>
      </c>
      <c r="C158" s="69"/>
      <c r="D158" s="70"/>
      <c r="E158" s="70"/>
      <c r="F158" s="70"/>
      <c r="G158" s="70"/>
      <c r="H158" s="63"/>
      <c r="I158" s="72"/>
      <c r="J158" s="72"/>
    </row>
    <row r="159" spans="1:10" s="51" customFormat="1" ht="41.4" x14ac:dyDescent="0.3">
      <c r="A159" s="60"/>
      <c r="B159" s="69"/>
      <c r="C159" s="63" t="s">
        <v>86</v>
      </c>
      <c r="D159" s="63">
        <v>1</v>
      </c>
      <c r="E159" s="63">
        <v>6</v>
      </c>
      <c r="F159" s="62" t="s">
        <v>109</v>
      </c>
      <c r="G159" s="64">
        <f t="shared" ref="G159" si="53">4800*E159*D159</f>
        <v>28800</v>
      </c>
      <c r="H159" s="62"/>
      <c r="I159" s="74"/>
      <c r="J159" s="74"/>
    </row>
    <row r="160" spans="1:10" s="119" customFormat="1" ht="39.9" customHeight="1" x14ac:dyDescent="0.3">
      <c r="A160" s="100">
        <v>63</v>
      </c>
      <c r="B160" s="1" t="s">
        <v>121</v>
      </c>
      <c r="C160" s="103"/>
      <c r="D160" s="100"/>
      <c r="E160" s="100"/>
      <c r="F160" s="100"/>
      <c r="G160" s="118"/>
      <c r="H160" s="103"/>
      <c r="I160" s="104"/>
      <c r="J160" s="104"/>
    </row>
    <row r="161" spans="1:10" s="51" customFormat="1" ht="13.8" x14ac:dyDescent="0.3">
      <c r="A161" s="89"/>
      <c r="B161" s="79" t="s">
        <v>4</v>
      </c>
      <c r="C161" s="63"/>
      <c r="D161" s="79">
        <f>SUM(D162:D164)</f>
        <v>3</v>
      </c>
      <c r="E161" s="79">
        <f>SUM(E162:E164)</f>
        <v>3</v>
      </c>
      <c r="F161" s="79">
        <v>3</v>
      </c>
      <c r="G161" s="120">
        <f>SUM(G162:G164)</f>
        <v>14400</v>
      </c>
      <c r="H161" s="63"/>
      <c r="I161" s="72"/>
      <c r="J161" s="72"/>
    </row>
    <row r="162" spans="1:10" s="51" customFormat="1" ht="41.4" x14ac:dyDescent="0.3">
      <c r="A162" s="89">
        <v>1</v>
      </c>
      <c r="B162" s="675"/>
      <c r="C162" s="62" t="s">
        <v>122</v>
      </c>
      <c r="D162" s="63">
        <v>1</v>
      </c>
      <c r="E162" s="63">
        <v>1</v>
      </c>
      <c r="F162" s="62" t="s">
        <v>123</v>
      </c>
      <c r="G162" s="99">
        <f>4800*E162*D162</f>
        <v>4800</v>
      </c>
      <c r="H162" s="62" t="s">
        <v>124</v>
      </c>
      <c r="I162" s="74"/>
      <c r="J162" s="74"/>
    </row>
    <row r="163" spans="1:10" s="51" customFormat="1" ht="41.4" x14ac:dyDescent="0.3">
      <c r="A163" s="89">
        <v>2</v>
      </c>
      <c r="B163" s="676"/>
      <c r="C163" s="63" t="s">
        <v>125</v>
      </c>
      <c r="D163" s="63">
        <v>1</v>
      </c>
      <c r="E163" s="63">
        <v>1</v>
      </c>
      <c r="F163" s="62" t="s">
        <v>123</v>
      </c>
      <c r="G163" s="99">
        <f>4800*E163*D163</f>
        <v>4800</v>
      </c>
      <c r="H163" s="62" t="s">
        <v>124</v>
      </c>
      <c r="I163" s="74"/>
      <c r="J163" s="74"/>
    </row>
    <row r="164" spans="1:10" s="51" customFormat="1" ht="27.6" x14ac:dyDescent="0.3">
      <c r="A164" s="89">
        <v>3</v>
      </c>
      <c r="B164" s="677"/>
      <c r="C164" s="63" t="s">
        <v>126</v>
      </c>
      <c r="D164" s="63">
        <v>1</v>
      </c>
      <c r="E164" s="63">
        <v>1</v>
      </c>
      <c r="F164" s="62" t="s">
        <v>127</v>
      </c>
      <c r="G164" s="99">
        <f>4800*E164*D164</f>
        <v>4800</v>
      </c>
      <c r="H164" s="62" t="s">
        <v>128</v>
      </c>
      <c r="I164" s="74"/>
      <c r="J164" s="74"/>
    </row>
    <row r="165" spans="1:10" s="51" customFormat="1" ht="13.8" x14ac:dyDescent="0.3">
      <c r="A165" s="89"/>
      <c r="B165" s="79" t="s">
        <v>6</v>
      </c>
      <c r="C165" s="63"/>
      <c r="D165" s="79">
        <f>SUM(D166:D172)</f>
        <v>14</v>
      </c>
      <c r="E165" s="79">
        <f>SUM(E166:E172)</f>
        <v>7</v>
      </c>
      <c r="F165" s="79">
        <v>6</v>
      </c>
      <c r="G165" s="98">
        <f>SUM(G166:G172)</f>
        <v>67200</v>
      </c>
      <c r="H165" s="63"/>
      <c r="I165" s="72"/>
      <c r="J165" s="72"/>
    </row>
    <row r="166" spans="1:10" s="51" customFormat="1" ht="41.4" x14ac:dyDescent="0.3">
      <c r="A166" s="89">
        <v>1</v>
      </c>
      <c r="B166" s="667"/>
      <c r="C166" s="63" t="s">
        <v>71</v>
      </c>
      <c r="D166" s="63">
        <v>2</v>
      </c>
      <c r="E166" s="63">
        <v>1</v>
      </c>
      <c r="F166" s="62" t="s">
        <v>123</v>
      </c>
      <c r="G166" s="122">
        <f>D166*E166*4800</f>
        <v>9600</v>
      </c>
      <c r="H166" s="62" t="s">
        <v>124</v>
      </c>
      <c r="I166" s="74"/>
      <c r="J166" s="74"/>
    </row>
    <row r="167" spans="1:10" s="51" customFormat="1" ht="41.4" x14ac:dyDescent="0.3">
      <c r="A167" s="89">
        <v>2</v>
      </c>
      <c r="B167" s="668"/>
      <c r="C167" s="63" t="s">
        <v>129</v>
      </c>
      <c r="D167" s="63">
        <v>2</v>
      </c>
      <c r="E167" s="63">
        <v>1</v>
      </c>
      <c r="F167" s="62" t="s">
        <v>123</v>
      </c>
      <c r="G167" s="122">
        <f t="shared" ref="G167:G172" si="54">D167*E167*4800</f>
        <v>9600</v>
      </c>
      <c r="H167" s="62" t="s">
        <v>124</v>
      </c>
      <c r="I167" s="74"/>
      <c r="J167" s="74"/>
    </row>
    <row r="168" spans="1:10" s="51" customFormat="1" ht="41.4" x14ac:dyDescent="0.3">
      <c r="A168" s="89">
        <v>3</v>
      </c>
      <c r="B168" s="668"/>
      <c r="C168" s="63" t="s">
        <v>70</v>
      </c>
      <c r="D168" s="63">
        <v>2</v>
      </c>
      <c r="E168" s="63">
        <v>1</v>
      </c>
      <c r="F168" s="62" t="s">
        <v>123</v>
      </c>
      <c r="G168" s="122">
        <f t="shared" si="54"/>
        <v>9600</v>
      </c>
      <c r="H168" s="62" t="s">
        <v>124</v>
      </c>
      <c r="I168" s="74"/>
      <c r="J168" s="74"/>
    </row>
    <row r="169" spans="1:10" s="51" customFormat="1" ht="41.4" x14ac:dyDescent="0.3">
      <c r="A169" s="89">
        <v>4</v>
      </c>
      <c r="B169" s="668"/>
      <c r="C169" s="63" t="s">
        <v>73</v>
      </c>
      <c r="D169" s="63">
        <v>2</v>
      </c>
      <c r="E169" s="63">
        <v>1</v>
      </c>
      <c r="F169" s="62" t="s">
        <v>123</v>
      </c>
      <c r="G169" s="122">
        <f t="shared" si="54"/>
        <v>9600</v>
      </c>
      <c r="H169" s="62" t="s">
        <v>124</v>
      </c>
      <c r="I169" s="74"/>
      <c r="J169" s="74"/>
    </row>
    <row r="170" spans="1:10" s="51" customFormat="1" ht="41.4" x14ac:dyDescent="0.3">
      <c r="A170" s="89">
        <v>5</v>
      </c>
      <c r="B170" s="668"/>
      <c r="C170" s="63" t="s">
        <v>130</v>
      </c>
      <c r="D170" s="63">
        <v>2</v>
      </c>
      <c r="E170" s="63">
        <v>1</v>
      </c>
      <c r="F170" s="62" t="s">
        <v>123</v>
      </c>
      <c r="G170" s="122">
        <f t="shared" si="54"/>
        <v>9600</v>
      </c>
      <c r="H170" s="62" t="s">
        <v>124</v>
      </c>
      <c r="I170" s="74"/>
      <c r="J170" s="74"/>
    </row>
    <row r="171" spans="1:10" s="51" customFormat="1" ht="27.6" x14ac:dyDescent="0.3">
      <c r="A171" s="89">
        <v>6</v>
      </c>
      <c r="B171" s="668"/>
      <c r="C171" s="63" t="s">
        <v>66</v>
      </c>
      <c r="D171" s="63">
        <v>2</v>
      </c>
      <c r="E171" s="63">
        <v>1</v>
      </c>
      <c r="F171" s="63" t="s">
        <v>131</v>
      </c>
      <c r="G171" s="122">
        <f t="shared" si="54"/>
        <v>9600</v>
      </c>
      <c r="H171" s="62" t="s">
        <v>128</v>
      </c>
      <c r="I171" s="74"/>
      <c r="J171" s="74"/>
    </row>
    <row r="172" spans="1:10" s="51" customFormat="1" ht="27.6" x14ac:dyDescent="0.3">
      <c r="A172" s="89">
        <v>7</v>
      </c>
      <c r="B172" s="668"/>
      <c r="C172" s="63" t="s">
        <v>112</v>
      </c>
      <c r="D172" s="63">
        <v>2</v>
      </c>
      <c r="E172" s="63">
        <v>1</v>
      </c>
      <c r="F172" s="63" t="s">
        <v>132</v>
      </c>
      <c r="G172" s="122">
        <f t="shared" si="54"/>
        <v>9600</v>
      </c>
      <c r="H172" s="62" t="s">
        <v>128</v>
      </c>
      <c r="I172" s="74"/>
      <c r="J172" s="74"/>
    </row>
    <row r="173" spans="1:10" s="51" customFormat="1" ht="13.8" x14ac:dyDescent="0.3">
      <c r="A173" s="89"/>
      <c r="B173" s="79" t="s">
        <v>7</v>
      </c>
      <c r="C173" s="63"/>
      <c r="D173" s="79">
        <f>SUM(D174:D180)</f>
        <v>14</v>
      </c>
      <c r="E173" s="79">
        <f>SUM(E174:E180)</f>
        <v>7</v>
      </c>
      <c r="F173" s="79">
        <v>6</v>
      </c>
      <c r="G173" s="98">
        <f>SUM(G174:G180)</f>
        <v>67200</v>
      </c>
      <c r="H173" s="63"/>
      <c r="I173" s="72"/>
      <c r="J173" s="72"/>
    </row>
    <row r="174" spans="1:10" s="51" customFormat="1" ht="41.4" x14ac:dyDescent="0.3">
      <c r="A174" s="89">
        <v>1</v>
      </c>
      <c r="B174" s="667"/>
      <c r="C174" s="63" t="s">
        <v>71</v>
      </c>
      <c r="D174" s="63">
        <v>2</v>
      </c>
      <c r="E174" s="63">
        <v>1</v>
      </c>
      <c r="F174" s="62" t="s">
        <v>123</v>
      </c>
      <c r="G174" s="122">
        <f>D174*E174*4800</f>
        <v>9600</v>
      </c>
      <c r="H174" s="62" t="s">
        <v>124</v>
      </c>
      <c r="I174" s="74"/>
      <c r="J174" s="74"/>
    </row>
    <row r="175" spans="1:10" s="51" customFormat="1" ht="41.4" x14ac:dyDescent="0.3">
      <c r="A175" s="89">
        <v>2</v>
      </c>
      <c r="B175" s="668"/>
      <c r="C175" s="63" t="s">
        <v>129</v>
      </c>
      <c r="D175" s="63">
        <v>2</v>
      </c>
      <c r="E175" s="63">
        <v>1</v>
      </c>
      <c r="F175" s="62" t="s">
        <v>123</v>
      </c>
      <c r="G175" s="122">
        <f t="shared" ref="G175:G180" si="55">D175*E175*4800</f>
        <v>9600</v>
      </c>
      <c r="H175" s="62" t="s">
        <v>124</v>
      </c>
      <c r="I175" s="74"/>
      <c r="J175" s="74"/>
    </row>
    <row r="176" spans="1:10" s="51" customFormat="1" ht="41.4" x14ac:dyDescent="0.3">
      <c r="A176" s="89">
        <v>3</v>
      </c>
      <c r="B176" s="668"/>
      <c r="C176" s="63" t="s">
        <v>70</v>
      </c>
      <c r="D176" s="63">
        <v>2</v>
      </c>
      <c r="E176" s="63">
        <v>1</v>
      </c>
      <c r="F176" s="62" t="s">
        <v>123</v>
      </c>
      <c r="G176" s="122">
        <f t="shared" si="55"/>
        <v>9600</v>
      </c>
      <c r="H176" s="62" t="s">
        <v>124</v>
      </c>
      <c r="I176" s="74"/>
      <c r="J176" s="74"/>
    </row>
    <row r="177" spans="1:10" s="51" customFormat="1" ht="41.4" x14ac:dyDescent="0.3">
      <c r="A177" s="89">
        <v>4</v>
      </c>
      <c r="B177" s="668"/>
      <c r="C177" s="63" t="s">
        <v>73</v>
      </c>
      <c r="D177" s="63">
        <v>2</v>
      </c>
      <c r="E177" s="63">
        <v>1</v>
      </c>
      <c r="F177" s="62" t="s">
        <v>123</v>
      </c>
      <c r="G177" s="122">
        <f t="shared" si="55"/>
        <v>9600</v>
      </c>
      <c r="H177" s="62" t="s">
        <v>124</v>
      </c>
      <c r="I177" s="74"/>
      <c r="J177" s="74"/>
    </row>
    <row r="178" spans="1:10" s="51" customFormat="1" ht="41.4" x14ac:dyDescent="0.3">
      <c r="A178" s="89">
        <v>5</v>
      </c>
      <c r="B178" s="668"/>
      <c r="C178" s="63" t="s">
        <v>130</v>
      </c>
      <c r="D178" s="63">
        <v>2</v>
      </c>
      <c r="E178" s="63">
        <v>1</v>
      </c>
      <c r="F178" s="62" t="s">
        <v>123</v>
      </c>
      <c r="G178" s="122">
        <f t="shared" si="55"/>
        <v>9600</v>
      </c>
      <c r="H178" s="62" t="s">
        <v>124</v>
      </c>
      <c r="I178" s="74"/>
      <c r="J178" s="74"/>
    </row>
    <row r="179" spans="1:10" s="51" customFormat="1" ht="27.6" x14ac:dyDescent="0.3">
      <c r="A179" s="89">
        <v>6</v>
      </c>
      <c r="B179" s="668"/>
      <c r="C179" s="63" t="s">
        <v>66</v>
      </c>
      <c r="D179" s="63">
        <v>2</v>
      </c>
      <c r="E179" s="63">
        <v>1</v>
      </c>
      <c r="F179" s="63" t="s">
        <v>131</v>
      </c>
      <c r="G179" s="122">
        <f t="shared" si="55"/>
        <v>9600</v>
      </c>
      <c r="H179" s="62" t="s">
        <v>128</v>
      </c>
      <c r="I179" s="74"/>
      <c r="J179" s="74"/>
    </row>
    <row r="180" spans="1:10" s="51" customFormat="1" ht="27.6" x14ac:dyDescent="0.3">
      <c r="A180" s="89">
        <v>7</v>
      </c>
      <c r="B180" s="668"/>
      <c r="C180" s="63" t="s">
        <v>112</v>
      </c>
      <c r="D180" s="63">
        <v>2</v>
      </c>
      <c r="E180" s="63">
        <v>1</v>
      </c>
      <c r="F180" s="63" t="s">
        <v>132</v>
      </c>
      <c r="G180" s="122">
        <f t="shared" si="55"/>
        <v>9600</v>
      </c>
      <c r="H180" s="62" t="s">
        <v>128</v>
      </c>
      <c r="I180" s="74"/>
      <c r="J180" s="74"/>
    </row>
    <row r="181" spans="1:10" s="51" customFormat="1" ht="13.8" x14ac:dyDescent="0.3">
      <c r="A181" s="89"/>
      <c r="B181" s="79" t="s">
        <v>8</v>
      </c>
      <c r="C181" s="63"/>
      <c r="D181" s="79">
        <f>SUM(D182:D188)</f>
        <v>14</v>
      </c>
      <c r="E181" s="79">
        <f>SUM(E182:E188)</f>
        <v>7</v>
      </c>
      <c r="F181" s="79">
        <v>6</v>
      </c>
      <c r="G181" s="98">
        <f>SUM(G182:G188)</f>
        <v>67200</v>
      </c>
      <c r="H181" s="63"/>
      <c r="I181" s="72"/>
      <c r="J181" s="72"/>
    </row>
    <row r="182" spans="1:10" s="51" customFormat="1" ht="41.4" x14ac:dyDescent="0.3">
      <c r="A182" s="89">
        <v>1</v>
      </c>
      <c r="B182" s="667"/>
      <c r="C182" s="63" t="s">
        <v>71</v>
      </c>
      <c r="D182" s="63">
        <v>2</v>
      </c>
      <c r="E182" s="63">
        <v>1</v>
      </c>
      <c r="F182" s="62" t="s">
        <v>123</v>
      </c>
      <c r="G182" s="122">
        <f>D182*E182*4800</f>
        <v>9600</v>
      </c>
      <c r="H182" s="62" t="s">
        <v>124</v>
      </c>
      <c r="I182" s="74"/>
      <c r="J182" s="74"/>
    </row>
    <row r="183" spans="1:10" s="51" customFormat="1" ht="41.4" x14ac:dyDescent="0.3">
      <c r="A183" s="89">
        <v>2</v>
      </c>
      <c r="B183" s="668"/>
      <c r="C183" s="63" t="s">
        <v>129</v>
      </c>
      <c r="D183" s="63">
        <v>2</v>
      </c>
      <c r="E183" s="63">
        <v>1</v>
      </c>
      <c r="F183" s="62" t="s">
        <v>123</v>
      </c>
      <c r="G183" s="122">
        <f t="shared" ref="G183:G188" si="56">D183*E183*4800</f>
        <v>9600</v>
      </c>
      <c r="H183" s="62" t="s">
        <v>124</v>
      </c>
      <c r="I183" s="74"/>
      <c r="J183" s="74"/>
    </row>
    <row r="184" spans="1:10" s="51" customFormat="1" ht="41.4" x14ac:dyDescent="0.3">
      <c r="A184" s="89">
        <v>3</v>
      </c>
      <c r="B184" s="668"/>
      <c r="C184" s="63" t="s">
        <v>70</v>
      </c>
      <c r="D184" s="63">
        <v>2</v>
      </c>
      <c r="E184" s="63">
        <v>1</v>
      </c>
      <c r="F184" s="62" t="s">
        <v>123</v>
      </c>
      <c r="G184" s="122">
        <f t="shared" si="56"/>
        <v>9600</v>
      </c>
      <c r="H184" s="62" t="s">
        <v>124</v>
      </c>
      <c r="I184" s="74"/>
      <c r="J184" s="74"/>
    </row>
    <row r="185" spans="1:10" s="51" customFormat="1" ht="41.4" x14ac:dyDescent="0.3">
      <c r="A185" s="89">
        <v>4</v>
      </c>
      <c r="B185" s="668"/>
      <c r="C185" s="63" t="s">
        <v>73</v>
      </c>
      <c r="D185" s="63">
        <v>2</v>
      </c>
      <c r="E185" s="63">
        <v>1</v>
      </c>
      <c r="F185" s="62" t="s">
        <v>123</v>
      </c>
      <c r="G185" s="122">
        <f t="shared" si="56"/>
        <v>9600</v>
      </c>
      <c r="H185" s="62" t="s">
        <v>124</v>
      </c>
      <c r="I185" s="74"/>
      <c r="J185" s="74"/>
    </row>
    <row r="186" spans="1:10" s="51" customFormat="1" ht="41.4" x14ac:dyDescent="0.3">
      <c r="A186" s="89">
        <v>5</v>
      </c>
      <c r="B186" s="668"/>
      <c r="C186" s="63" t="s">
        <v>130</v>
      </c>
      <c r="D186" s="63">
        <v>2</v>
      </c>
      <c r="E186" s="63">
        <v>1</v>
      </c>
      <c r="F186" s="62" t="s">
        <v>123</v>
      </c>
      <c r="G186" s="122">
        <f t="shared" si="56"/>
        <v>9600</v>
      </c>
      <c r="H186" s="62" t="s">
        <v>124</v>
      </c>
      <c r="I186" s="74"/>
      <c r="J186" s="74"/>
    </row>
    <row r="187" spans="1:10" s="51" customFormat="1" ht="27.6" x14ac:dyDescent="0.3">
      <c r="A187" s="89">
        <v>6</v>
      </c>
      <c r="B187" s="668"/>
      <c r="C187" s="63" t="s">
        <v>66</v>
      </c>
      <c r="D187" s="63">
        <v>2</v>
      </c>
      <c r="E187" s="63">
        <v>1</v>
      </c>
      <c r="F187" s="63" t="s">
        <v>131</v>
      </c>
      <c r="G187" s="122">
        <f t="shared" si="56"/>
        <v>9600</v>
      </c>
      <c r="H187" s="62" t="s">
        <v>128</v>
      </c>
      <c r="I187" s="74"/>
      <c r="J187" s="74"/>
    </row>
    <row r="188" spans="1:10" s="51" customFormat="1" ht="27.6" x14ac:dyDescent="0.3">
      <c r="A188" s="89">
        <v>7</v>
      </c>
      <c r="B188" s="668"/>
      <c r="C188" s="63" t="s">
        <v>112</v>
      </c>
      <c r="D188" s="63">
        <v>2</v>
      </c>
      <c r="E188" s="63">
        <v>1</v>
      </c>
      <c r="F188" s="63" t="s">
        <v>132</v>
      </c>
      <c r="G188" s="122">
        <f t="shared" si="56"/>
        <v>9600</v>
      </c>
      <c r="H188" s="62" t="s">
        <v>128</v>
      </c>
      <c r="I188" s="74"/>
      <c r="J188" s="74"/>
    </row>
    <row r="189" spans="1:10" s="51" customFormat="1" ht="13.8" x14ac:dyDescent="0.3">
      <c r="A189" s="89"/>
      <c r="B189" s="79" t="s">
        <v>9</v>
      </c>
      <c r="C189" s="63"/>
      <c r="D189" s="79">
        <f>SUM(D190:D196)</f>
        <v>14</v>
      </c>
      <c r="E189" s="79">
        <f>SUM(E190:E196)</f>
        <v>7</v>
      </c>
      <c r="F189" s="79">
        <v>6</v>
      </c>
      <c r="G189" s="98">
        <f>SUM(G190:G196)</f>
        <v>67200</v>
      </c>
      <c r="H189" s="63"/>
      <c r="I189" s="72"/>
      <c r="J189" s="72"/>
    </row>
    <row r="190" spans="1:10" s="51" customFormat="1" ht="41.4" x14ac:dyDescent="0.3">
      <c r="A190" s="89">
        <v>1</v>
      </c>
      <c r="B190" s="667"/>
      <c r="C190" s="63" t="s">
        <v>71</v>
      </c>
      <c r="D190" s="63">
        <v>2</v>
      </c>
      <c r="E190" s="63">
        <v>1</v>
      </c>
      <c r="F190" s="62" t="s">
        <v>123</v>
      </c>
      <c r="G190" s="122">
        <f>D190*E190*4800</f>
        <v>9600</v>
      </c>
      <c r="H190" s="62" t="s">
        <v>124</v>
      </c>
      <c r="I190" s="74"/>
      <c r="J190" s="74"/>
    </row>
    <row r="191" spans="1:10" s="51" customFormat="1" ht="41.4" x14ac:dyDescent="0.3">
      <c r="A191" s="89">
        <v>2</v>
      </c>
      <c r="B191" s="668"/>
      <c r="C191" s="63" t="s">
        <v>129</v>
      </c>
      <c r="D191" s="63">
        <v>2</v>
      </c>
      <c r="E191" s="63">
        <v>1</v>
      </c>
      <c r="F191" s="62" t="s">
        <v>123</v>
      </c>
      <c r="G191" s="122">
        <f t="shared" ref="G191:G196" si="57">D191*E191*4800</f>
        <v>9600</v>
      </c>
      <c r="H191" s="62" t="s">
        <v>124</v>
      </c>
      <c r="I191" s="74"/>
      <c r="J191" s="74"/>
    </row>
    <row r="192" spans="1:10" s="51" customFormat="1" ht="41.4" x14ac:dyDescent="0.3">
      <c r="A192" s="89">
        <v>3</v>
      </c>
      <c r="B192" s="668"/>
      <c r="C192" s="63" t="s">
        <v>70</v>
      </c>
      <c r="D192" s="63">
        <v>2</v>
      </c>
      <c r="E192" s="63">
        <v>1</v>
      </c>
      <c r="F192" s="62" t="s">
        <v>123</v>
      </c>
      <c r="G192" s="122">
        <f t="shared" si="57"/>
        <v>9600</v>
      </c>
      <c r="H192" s="62" t="s">
        <v>124</v>
      </c>
      <c r="I192" s="74"/>
      <c r="J192" s="74"/>
    </row>
    <row r="193" spans="1:10" s="51" customFormat="1" ht="41.4" x14ac:dyDescent="0.3">
      <c r="A193" s="89">
        <v>4</v>
      </c>
      <c r="B193" s="668"/>
      <c r="C193" s="63" t="s">
        <v>73</v>
      </c>
      <c r="D193" s="63">
        <v>2</v>
      </c>
      <c r="E193" s="63">
        <v>1</v>
      </c>
      <c r="F193" s="62" t="s">
        <v>123</v>
      </c>
      <c r="G193" s="122">
        <f t="shared" si="57"/>
        <v>9600</v>
      </c>
      <c r="H193" s="62" t="s">
        <v>124</v>
      </c>
      <c r="I193" s="74"/>
      <c r="J193" s="74"/>
    </row>
    <row r="194" spans="1:10" s="51" customFormat="1" ht="41.4" x14ac:dyDescent="0.3">
      <c r="A194" s="89">
        <v>5</v>
      </c>
      <c r="B194" s="668"/>
      <c r="C194" s="63" t="s">
        <v>130</v>
      </c>
      <c r="D194" s="63">
        <v>2</v>
      </c>
      <c r="E194" s="63">
        <v>1</v>
      </c>
      <c r="F194" s="62" t="s">
        <v>123</v>
      </c>
      <c r="G194" s="122">
        <f t="shared" si="57"/>
        <v>9600</v>
      </c>
      <c r="H194" s="62" t="s">
        <v>124</v>
      </c>
      <c r="I194" s="74"/>
      <c r="J194" s="74"/>
    </row>
    <row r="195" spans="1:10" s="51" customFormat="1" ht="27.6" x14ac:dyDescent="0.3">
      <c r="A195" s="89">
        <v>6</v>
      </c>
      <c r="B195" s="668"/>
      <c r="C195" s="63" t="s">
        <v>66</v>
      </c>
      <c r="D195" s="63">
        <v>2</v>
      </c>
      <c r="E195" s="63">
        <v>1</v>
      </c>
      <c r="F195" s="63" t="s">
        <v>131</v>
      </c>
      <c r="G195" s="122">
        <f t="shared" si="57"/>
        <v>9600</v>
      </c>
      <c r="H195" s="62" t="s">
        <v>128</v>
      </c>
      <c r="I195" s="74"/>
      <c r="J195" s="74"/>
    </row>
    <row r="196" spans="1:10" s="51" customFormat="1" ht="27.6" x14ac:dyDescent="0.3">
      <c r="A196" s="89">
        <v>7</v>
      </c>
      <c r="B196" s="669"/>
      <c r="C196" s="63" t="s">
        <v>112</v>
      </c>
      <c r="D196" s="63">
        <v>2</v>
      </c>
      <c r="E196" s="63">
        <v>1</v>
      </c>
      <c r="F196" s="63" t="s">
        <v>132</v>
      </c>
      <c r="G196" s="122">
        <f t="shared" si="57"/>
        <v>9600</v>
      </c>
      <c r="H196" s="62" t="s">
        <v>128</v>
      </c>
      <c r="I196" s="74"/>
      <c r="J196" s="74"/>
    </row>
    <row r="197" spans="1:10" s="51" customFormat="1" ht="26.25" customHeight="1" x14ac:dyDescent="0.3">
      <c r="A197" s="52">
        <v>58</v>
      </c>
      <c r="B197" s="53" t="s">
        <v>133</v>
      </c>
      <c r="C197" s="54"/>
      <c r="D197" s="55">
        <f>D198+D201+D223+D226+D229</f>
        <v>4</v>
      </c>
      <c r="E197" s="55">
        <f>E198+E201+E223+E226+E229</f>
        <v>24</v>
      </c>
      <c r="F197" s="55">
        <f>F198+F201+F223+F226+F229</f>
        <v>0</v>
      </c>
      <c r="G197" s="123">
        <f>G198+G201+G223+G226+G229</f>
        <v>115200</v>
      </c>
      <c r="H197" s="57"/>
      <c r="I197" s="68"/>
      <c r="J197" s="68"/>
    </row>
    <row r="198" spans="1:10" s="51" customFormat="1" ht="24.75" customHeight="1" x14ac:dyDescent="0.3">
      <c r="A198" s="60"/>
      <c r="B198" s="61" t="s">
        <v>4</v>
      </c>
      <c r="C198" s="69"/>
      <c r="D198" s="70">
        <f>SUM(D199:D200)</f>
        <v>2</v>
      </c>
      <c r="E198" s="70">
        <f t="shared" ref="E198:F198" si="58">SUM(E199:E200)</f>
        <v>12</v>
      </c>
      <c r="F198" s="70">
        <f t="shared" si="58"/>
        <v>0</v>
      </c>
      <c r="G198" s="75">
        <f>SUM(G199:G200)</f>
        <v>57600</v>
      </c>
      <c r="H198" s="63"/>
      <c r="I198" s="72"/>
      <c r="J198" s="72"/>
    </row>
    <row r="199" spans="1:10" s="51" customFormat="1" ht="82.8" x14ac:dyDescent="0.3">
      <c r="A199" s="89">
        <v>1</v>
      </c>
      <c r="B199" s="124" t="s">
        <v>134</v>
      </c>
      <c r="C199" s="62" t="s">
        <v>70</v>
      </c>
      <c r="D199" s="63">
        <v>1</v>
      </c>
      <c r="E199" s="63">
        <v>6</v>
      </c>
      <c r="F199" s="62" t="s">
        <v>135</v>
      </c>
      <c r="G199" s="64">
        <f t="shared" ref="G199:G200" si="59">4800*E199*D199</f>
        <v>28800</v>
      </c>
      <c r="H199" s="62" t="s">
        <v>136</v>
      </c>
      <c r="I199" s="74"/>
      <c r="J199" s="74"/>
    </row>
    <row r="200" spans="1:10" s="51" customFormat="1" ht="54" customHeight="1" x14ac:dyDescent="0.3">
      <c r="A200" s="89">
        <v>2</v>
      </c>
      <c r="B200" s="81" t="s">
        <v>137</v>
      </c>
      <c r="C200" s="62" t="s">
        <v>86</v>
      </c>
      <c r="D200" s="63">
        <v>1</v>
      </c>
      <c r="E200" s="63">
        <v>6</v>
      </c>
      <c r="F200" s="62" t="s">
        <v>135</v>
      </c>
      <c r="G200" s="64">
        <f t="shared" si="59"/>
        <v>28800</v>
      </c>
      <c r="H200" s="62" t="s">
        <v>138</v>
      </c>
      <c r="I200" s="74"/>
      <c r="J200" s="74"/>
    </row>
    <row r="201" spans="1:10" s="51" customFormat="1" ht="23.25" customHeight="1" x14ac:dyDescent="0.3">
      <c r="A201" s="60"/>
      <c r="B201" s="61" t="s">
        <v>6</v>
      </c>
      <c r="C201" s="69"/>
      <c r="D201" s="70">
        <f>SUM(D202:D203)</f>
        <v>2</v>
      </c>
      <c r="E201" s="70">
        <f t="shared" ref="E201:F201" si="60">SUM(E202:E203)</f>
        <v>12</v>
      </c>
      <c r="F201" s="70">
        <f t="shared" si="60"/>
        <v>0</v>
      </c>
      <c r="G201" s="75">
        <f>SUM(G202:G203)</f>
        <v>57600</v>
      </c>
      <c r="H201" s="63"/>
      <c r="I201" s="72"/>
      <c r="J201" s="72"/>
    </row>
    <row r="202" spans="1:10" s="51" customFormat="1" ht="53.25" customHeight="1" x14ac:dyDescent="0.3">
      <c r="A202" s="89">
        <v>1</v>
      </c>
      <c r="B202" s="81" t="s">
        <v>139</v>
      </c>
      <c r="C202" s="62" t="s">
        <v>86</v>
      </c>
      <c r="D202" s="63">
        <v>1</v>
      </c>
      <c r="E202" s="63">
        <v>6</v>
      </c>
      <c r="F202" s="62" t="s">
        <v>135</v>
      </c>
      <c r="G202" s="64">
        <f t="shared" ref="G202:G203" si="61">4800*E202*D202</f>
        <v>28800</v>
      </c>
      <c r="H202" s="62" t="s">
        <v>138</v>
      </c>
      <c r="I202" s="74"/>
      <c r="J202" s="74"/>
    </row>
    <row r="203" spans="1:10" s="51" customFormat="1" ht="90.75" customHeight="1" x14ac:dyDescent="0.3">
      <c r="A203" s="89">
        <v>2</v>
      </c>
      <c r="B203" s="81" t="s">
        <v>140</v>
      </c>
      <c r="C203" s="62" t="s">
        <v>70</v>
      </c>
      <c r="D203" s="63">
        <v>1</v>
      </c>
      <c r="E203" s="63">
        <v>6</v>
      </c>
      <c r="F203" s="62" t="s">
        <v>135</v>
      </c>
      <c r="G203" s="64">
        <f t="shared" si="61"/>
        <v>28800</v>
      </c>
      <c r="H203" s="62" t="s">
        <v>136</v>
      </c>
      <c r="I203" s="74"/>
      <c r="J203" s="74"/>
    </row>
    <row r="204" spans="1:10" s="51" customFormat="1" ht="19.5" customHeight="1" x14ac:dyDescent="0.3">
      <c r="A204" s="60"/>
      <c r="B204" s="61" t="s">
        <v>7</v>
      </c>
      <c r="C204" s="69"/>
      <c r="D204" s="70">
        <f>SUM(D205:D206)</f>
        <v>2</v>
      </c>
      <c r="E204" s="70">
        <f>SUM(E205:E206)</f>
        <v>12</v>
      </c>
      <c r="F204" s="70">
        <f>SUM(F205:F206)</f>
        <v>0</v>
      </c>
      <c r="G204" s="75">
        <f>SUM(G205:G206)</f>
        <v>57600</v>
      </c>
      <c r="H204" s="63"/>
      <c r="I204" s="72"/>
      <c r="J204" s="72"/>
    </row>
    <row r="205" spans="1:10" s="51" customFormat="1" ht="82.8" x14ac:dyDescent="0.3">
      <c r="A205" s="89">
        <v>1</v>
      </c>
      <c r="B205" s="81" t="s">
        <v>141</v>
      </c>
      <c r="C205" s="62" t="s">
        <v>70</v>
      </c>
      <c r="D205" s="63">
        <v>1</v>
      </c>
      <c r="E205" s="63">
        <v>6</v>
      </c>
      <c r="F205" s="62" t="s">
        <v>135</v>
      </c>
      <c r="G205" s="64">
        <f t="shared" ref="G205:G206" si="62">4800*E205*D205</f>
        <v>28800</v>
      </c>
      <c r="H205" s="62" t="s">
        <v>136</v>
      </c>
      <c r="I205" s="74"/>
      <c r="J205" s="74"/>
    </row>
    <row r="206" spans="1:10" s="51" customFormat="1" ht="41.4" x14ac:dyDescent="0.3">
      <c r="A206" s="89">
        <v>2</v>
      </c>
      <c r="B206" s="124" t="s">
        <v>134</v>
      </c>
      <c r="C206" s="62" t="s">
        <v>86</v>
      </c>
      <c r="D206" s="63">
        <v>1</v>
      </c>
      <c r="E206" s="63">
        <v>6</v>
      </c>
      <c r="F206" s="62" t="s">
        <v>135</v>
      </c>
      <c r="G206" s="64">
        <f t="shared" si="62"/>
        <v>28800</v>
      </c>
      <c r="H206" s="62" t="s">
        <v>138</v>
      </c>
      <c r="I206" s="74"/>
      <c r="J206" s="74"/>
    </row>
    <row r="207" spans="1:10" s="51" customFormat="1" x14ac:dyDescent="0.3">
      <c r="A207" s="60"/>
      <c r="B207" s="61" t="s">
        <v>8</v>
      </c>
      <c r="C207" s="69"/>
      <c r="D207" s="70">
        <f>SUM(D208:D209)</f>
        <v>2</v>
      </c>
      <c r="E207" s="70">
        <f>SUM(E208:E209)</f>
        <v>12</v>
      </c>
      <c r="F207" s="61">
        <f>SUM(F208:F209)</f>
        <v>0</v>
      </c>
      <c r="G207" s="78">
        <f>SUM(G208:G209)</f>
        <v>57600</v>
      </c>
      <c r="H207" s="63"/>
      <c r="I207" s="72"/>
      <c r="J207" s="72"/>
    </row>
    <row r="208" spans="1:10" s="51" customFormat="1" ht="41.4" x14ac:dyDescent="0.3">
      <c r="A208" s="60">
        <v>1</v>
      </c>
      <c r="B208" s="81" t="s">
        <v>137</v>
      </c>
      <c r="C208" s="62" t="s">
        <v>70</v>
      </c>
      <c r="D208" s="63">
        <v>1</v>
      </c>
      <c r="E208" s="63">
        <v>6</v>
      </c>
      <c r="F208" s="62" t="s">
        <v>135</v>
      </c>
      <c r="G208" s="64">
        <f t="shared" ref="G208:G209" si="63">4800*E208*D208</f>
        <v>28800</v>
      </c>
      <c r="H208" s="62" t="s">
        <v>138</v>
      </c>
      <c r="I208" s="74"/>
      <c r="J208" s="74"/>
    </row>
    <row r="209" spans="1:10" s="51" customFormat="1" ht="41.4" x14ac:dyDescent="0.3">
      <c r="A209" s="60">
        <v>2</v>
      </c>
      <c r="B209" s="81" t="s">
        <v>140</v>
      </c>
      <c r="C209" s="62" t="s">
        <v>86</v>
      </c>
      <c r="D209" s="63">
        <v>1</v>
      </c>
      <c r="E209" s="63">
        <v>6</v>
      </c>
      <c r="F209" s="62" t="s">
        <v>135</v>
      </c>
      <c r="G209" s="64">
        <f t="shared" si="63"/>
        <v>28800</v>
      </c>
      <c r="H209" s="62" t="s">
        <v>138</v>
      </c>
      <c r="I209" s="74"/>
      <c r="J209" s="74"/>
    </row>
    <row r="210" spans="1:10" s="51" customFormat="1" x14ac:dyDescent="0.3">
      <c r="A210" s="60"/>
      <c r="B210" s="61" t="s">
        <v>9</v>
      </c>
      <c r="C210" s="69"/>
      <c r="D210" s="70">
        <f>SUM(D211:D211)</f>
        <v>1</v>
      </c>
      <c r="E210" s="70">
        <f>SUM(E211:E211)</f>
        <v>6</v>
      </c>
      <c r="F210" s="70">
        <f>SUM(F211:F211)</f>
        <v>0</v>
      </c>
      <c r="G210" s="78">
        <f>SUM(G211:G211)</f>
        <v>28800</v>
      </c>
      <c r="H210" s="63"/>
      <c r="I210" s="72"/>
      <c r="J210" s="72"/>
    </row>
    <row r="211" spans="1:10" s="51" customFormat="1" ht="82.8" x14ac:dyDescent="0.3">
      <c r="A211" s="89">
        <v>1</v>
      </c>
      <c r="B211" s="81" t="s">
        <v>139</v>
      </c>
      <c r="C211" s="62" t="s">
        <v>70</v>
      </c>
      <c r="D211" s="63">
        <v>1</v>
      </c>
      <c r="E211" s="63">
        <v>6</v>
      </c>
      <c r="F211" s="62" t="s">
        <v>135</v>
      </c>
      <c r="G211" s="64">
        <f t="shared" ref="G211" si="64">4800*E211*D211</f>
        <v>28800</v>
      </c>
      <c r="H211" s="62" t="s">
        <v>136</v>
      </c>
      <c r="I211" s="74"/>
      <c r="J211" s="74"/>
    </row>
    <row r="212" spans="1:10" s="51" customFormat="1" ht="32.25" customHeight="1" x14ac:dyDescent="0.3">
      <c r="A212" s="52">
        <v>60</v>
      </c>
      <c r="B212" s="53" t="s">
        <v>142</v>
      </c>
      <c r="C212" s="54"/>
      <c r="D212" s="55">
        <f>D213+D215+D217+D219+D221</f>
        <v>5</v>
      </c>
      <c r="E212" s="55">
        <f>E213+E215+E217+E219+E221</f>
        <v>5</v>
      </c>
      <c r="F212" s="55"/>
      <c r="G212" s="123">
        <f>G213+G215+G217+G219+G221</f>
        <v>24000</v>
      </c>
      <c r="H212" s="57"/>
      <c r="I212" s="68"/>
      <c r="J212" s="68"/>
    </row>
    <row r="213" spans="1:10" s="51" customFormat="1" ht="30.75" customHeight="1" x14ac:dyDescent="0.3">
      <c r="A213" s="60"/>
      <c r="B213" s="61" t="s">
        <v>4</v>
      </c>
      <c r="C213" s="69"/>
      <c r="D213" s="70">
        <f>SUM(D214:D214)</f>
        <v>1</v>
      </c>
      <c r="E213" s="70">
        <f>SUM(E214:E214)</f>
        <v>1</v>
      </c>
      <c r="F213" s="70"/>
      <c r="G213" s="75">
        <f>SUM(G214:G214)</f>
        <v>4800</v>
      </c>
      <c r="H213" s="63"/>
      <c r="I213" s="72"/>
      <c r="J213" s="72"/>
    </row>
    <row r="214" spans="1:10" s="51" customFormat="1" ht="27.6" x14ac:dyDescent="0.3">
      <c r="A214" s="60"/>
      <c r="B214" s="69"/>
      <c r="C214" s="125" t="s">
        <v>143</v>
      </c>
      <c r="D214" s="121">
        <v>1</v>
      </c>
      <c r="E214" s="121">
        <v>1</v>
      </c>
      <c r="F214" s="125" t="s">
        <v>144</v>
      </c>
      <c r="G214" s="126">
        <f t="shared" ref="G214" si="65">4800*E214*D214</f>
        <v>4800</v>
      </c>
      <c r="H214" s="62"/>
      <c r="I214" s="74"/>
      <c r="J214" s="74"/>
    </row>
    <row r="215" spans="1:10" s="51" customFormat="1" x14ac:dyDescent="0.3">
      <c r="A215" s="60"/>
      <c r="B215" s="61" t="s">
        <v>6</v>
      </c>
      <c r="C215" s="69"/>
      <c r="D215" s="70">
        <f>SUM(D216:D216)</f>
        <v>1</v>
      </c>
      <c r="E215" s="70">
        <f>SUM(E216:E216)</f>
        <v>1</v>
      </c>
      <c r="F215" s="70"/>
      <c r="G215" s="75">
        <f>SUM(G216:G216)</f>
        <v>4800</v>
      </c>
      <c r="H215" s="63"/>
      <c r="I215" s="72"/>
      <c r="J215" s="72"/>
    </row>
    <row r="216" spans="1:10" s="51" customFormat="1" ht="27.6" x14ac:dyDescent="0.3">
      <c r="A216" s="60"/>
      <c r="B216" s="69"/>
      <c r="C216" s="125" t="s">
        <v>143</v>
      </c>
      <c r="D216" s="121">
        <v>1</v>
      </c>
      <c r="E216" s="121">
        <v>1</v>
      </c>
      <c r="F216" s="125" t="s">
        <v>144</v>
      </c>
      <c r="G216" s="126">
        <f t="shared" ref="G216" si="66">4800*E216*D216</f>
        <v>4800</v>
      </c>
      <c r="H216" s="62"/>
      <c r="I216" s="74"/>
      <c r="J216" s="74"/>
    </row>
    <row r="217" spans="1:10" s="51" customFormat="1" x14ac:dyDescent="0.3">
      <c r="A217" s="60"/>
      <c r="B217" s="61" t="s">
        <v>7</v>
      </c>
      <c r="C217" s="69"/>
      <c r="D217" s="70">
        <f>SUM(D218:D218)</f>
        <v>1</v>
      </c>
      <c r="E217" s="70">
        <f>SUM(E218:E218)</f>
        <v>1</v>
      </c>
      <c r="F217" s="70"/>
      <c r="G217" s="75">
        <f>SUM(G218:G218)</f>
        <v>4800</v>
      </c>
      <c r="H217" s="63"/>
      <c r="I217" s="72"/>
      <c r="J217" s="72"/>
    </row>
    <row r="218" spans="1:10" s="51" customFormat="1" ht="27.6" x14ac:dyDescent="0.3">
      <c r="A218" s="60"/>
      <c r="B218" s="69"/>
      <c r="C218" s="125" t="s">
        <v>143</v>
      </c>
      <c r="D218" s="121">
        <v>1</v>
      </c>
      <c r="E218" s="121">
        <v>1</v>
      </c>
      <c r="F218" s="125" t="s">
        <v>144</v>
      </c>
      <c r="G218" s="126">
        <f t="shared" ref="G218" si="67">4800*E218*D218</f>
        <v>4800</v>
      </c>
      <c r="H218" s="62"/>
      <c r="I218" s="74"/>
      <c r="J218" s="74"/>
    </row>
    <row r="219" spans="1:10" s="51" customFormat="1" x14ac:dyDescent="0.3">
      <c r="A219" s="60"/>
      <c r="B219" s="61" t="s">
        <v>8</v>
      </c>
      <c r="C219" s="69"/>
      <c r="D219" s="70">
        <f>SUM(D220:D220)</f>
        <v>1</v>
      </c>
      <c r="E219" s="70">
        <f>SUM(E220:E220)</f>
        <v>1</v>
      </c>
      <c r="F219" s="61"/>
      <c r="G219" s="75">
        <f>SUM(G220:G220)</f>
        <v>4800</v>
      </c>
      <c r="H219" s="63"/>
      <c r="I219" s="72"/>
      <c r="J219" s="72"/>
    </row>
    <row r="220" spans="1:10" s="51" customFormat="1" ht="27.6" x14ac:dyDescent="0.3">
      <c r="A220" s="60"/>
      <c r="B220" s="69"/>
      <c r="C220" s="62" t="s">
        <v>143</v>
      </c>
      <c r="D220" s="63">
        <v>1</v>
      </c>
      <c r="E220" s="63">
        <v>1</v>
      </c>
      <c r="F220" s="62" t="s">
        <v>144</v>
      </c>
      <c r="G220" s="127">
        <f t="shared" ref="G220" si="68">4800*E220*D220</f>
        <v>4800</v>
      </c>
      <c r="H220" s="62"/>
      <c r="I220" s="74"/>
      <c r="J220" s="74"/>
    </row>
    <row r="221" spans="1:10" s="51" customFormat="1" x14ac:dyDescent="0.3">
      <c r="A221" s="60"/>
      <c r="B221" s="61" t="s">
        <v>9</v>
      </c>
      <c r="C221" s="69"/>
      <c r="D221" s="70">
        <f>SUM(D222:D222)</f>
        <v>1</v>
      </c>
      <c r="E221" s="70">
        <f>SUM(E222:E222)</f>
        <v>1</v>
      </c>
      <c r="F221" s="61"/>
      <c r="G221" s="75">
        <f>SUM(G222:G222)</f>
        <v>4800</v>
      </c>
      <c r="H221" s="63"/>
      <c r="I221" s="72"/>
      <c r="J221" s="72"/>
    </row>
    <row r="222" spans="1:10" s="51" customFormat="1" ht="27.6" x14ac:dyDescent="0.3">
      <c r="A222" s="60"/>
      <c r="B222" s="69"/>
      <c r="C222" s="62" t="s">
        <v>143</v>
      </c>
      <c r="D222" s="63">
        <v>1</v>
      </c>
      <c r="E222" s="63">
        <v>1</v>
      </c>
      <c r="F222" s="62" t="s">
        <v>144</v>
      </c>
      <c r="G222" s="127">
        <f t="shared" ref="G222" si="69">4800*E222*D222</f>
        <v>4800</v>
      </c>
      <c r="H222" s="62"/>
      <c r="I222" s="74"/>
      <c r="J222" s="74"/>
    </row>
    <row r="223" spans="1:10" s="51" customFormat="1" x14ac:dyDescent="0.3">
      <c r="A223" s="52"/>
      <c r="B223" s="53"/>
      <c r="C223" s="54"/>
      <c r="D223" s="55"/>
      <c r="E223" s="55"/>
      <c r="F223" s="55"/>
      <c r="G223" s="55"/>
      <c r="H223" s="57"/>
      <c r="I223" s="68"/>
      <c r="J223" s="68"/>
    </row>
    <row r="224" spans="1:10" s="51" customFormat="1" x14ac:dyDescent="0.3">
      <c r="A224" s="60"/>
      <c r="B224" s="61"/>
      <c r="C224" s="69"/>
      <c r="D224" s="70"/>
      <c r="E224" s="70"/>
      <c r="F224" s="70"/>
      <c r="G224" s="70"/>
      <c r="H224" s="63"/>
      <c r="I224" s="72"/>
      <c r="J224" s="72"/>
    </row>
    <row r="225" spans="1:10" s="51" customFormat="1" x14ac:dyDescent="0.3">
      <c r="A225" s="60"/>
      <c r="B225" s="69"/>
      <c r="C225" s="62"/>
      <c r="D225" s="63"/>
      <c r="E225" s="63"/>
      <c r="F225" s="62"/>
      <c r="G225" s="64"/>
      <c r="H225" s="62"/>
      <c r="I225" s="74"/>
      <c r="J225" s="74"/>
    </row>
    <row r="226" spans="1:10" s="51" customFormat="1" x14ac:dyDescent="0.3">
      <c r="A226" s="60"/>
      <c r="B226" s="69"/>
      <c r="C226" s="63"/>
      <c r="D226" s="63"/>
      <c r="E226" s="63"/>
      <c r="F226" s="62"/>
      <c r="G226" s="64"/>
      <c r="H226" s="62"/>
      <c r="I226" s="74"/>
      <c r="J226" s="74"/>
    </row>
    <row r="227" spans="1:10" s="51" customFormat="1" x14ac:dyDescent="0.3">
      <c r="A227" s="60"/>
      <c r="B227" s="69"/>
      <c r="C227" s="63"/>
      <c r="D227" s="63"/>
      <c r="E227" s="63"/>
      <c r="F227" s="62"/>
      <c r="G227" s="64"/>
      <c r="H227" s="62"/>
      <c r="I227" s="74"/>
      <c r="J227" s="74"/>
    </row>
    <row r="228" spans="1:10" s="51" customFormat="1" x14ac:dyDescent="0.3">
      <c r="A228" s="60"/>
      <c r="B228" s="61"/>
      <c r="C228" s="69"/>
      <c r="D228" s="70"/>
      <c r="E228" s="70"/>
      <c r="F228" s="70"/>
      <c r="G228" s="75"/>
      <c r="H228" s="63"/>
      <c r="I228" s="72"/>
      <c r="J228" s="72"/>
    </row>
    <row r="229" spans="1:10" s="51" customFormat="1" x14ac:dyDescent="0.3">
      <c r="A229" s="60"/>
      <c r="B229" s="69"/>
      <c r="C229" s="62"/>
      <c r="D229" s="63"/>
      <c r="E229" s="63"/>
      <c r="F229" s="62"/>
      <c r="G229" s="64"/>
      <c r="H229" s="62"/>
      <c r="I229" s="74"/>
      <c r="J229" s="74"/>
    </row>
    <row r="230" spans="1:10" s="51" customFormat="1" x14ac:dyDescent="0.3">
      <c r="A230" s="60"/>
      <c r="B230" s="69"/>
      <c r="C230" s="63"/>
      <c r="D230" s="63"/>
      <c r="E230" s="63"/>
      <c r="F230" s="62"/>
      <c r="G230" s="64"/>
      <c r="H230" s="62"/>
      <c r="I230" s="74"/>
      <c r="J230" s="74"/>
    </row>
    <row r="231" spans="1:10" s="51" customFormat="1" x14ac:dyDescent="0.3">
      <c r="A231" s="60"/>
      <c r="B231" s="69"/>
      <c r="C231" s="63"/>
      <c r="D231" s="63"/>
      <c r="E231" s="63"/>
      <c r="F231" s="62"/>
      <c r="G231" s="64"/>
      <c r="H231" s="62"/>
      <c r="I231" s="74"/>
      <c r="J231" s="74"/>
    </row>
    <row r="232" spans="1:10" s="51" customFormat="1" x14ac:dyDescent="0.3">
      <c r="A232" s="60"/>
      <c r="B232" s="61"/>
      <c r="C232" s="69"/>
      <c r="D232" s="70"/>
      <c r="E232" s="70"/>
      <c r="F232" s="70"/>
      <c r="G232" s="75"/>
      <c r="H232" s="63"/>
      <c r="I232" s="72"/>
      <c r="J232" s="72"/>
    </row>
    <row r="233" spans="1:10" s="51" customFormat="1" x14ac:dyDescent="0.3">
      <c r="A233" s="60"/>
      <c r="B233" s="69"/>
      <c r="C233" s="62"/>
      <c r="D233" s="63"/>
      <c r="E233" s="63"/>
      <c r="F233" s="62"/>
      <c r="G233" s="64"/>
      <c r="H233" s="62"/>
      <c r="I233" s="74"/>
      <c r="J233" s="74"/>
    </row>
    <row r="234" spans="1:10" s="51" customFormat="1" x14ac:dyDescent="0.3">
      <c r="A234" s="60"/>
      <c r="B234" s="69"/>
      <c r="C234" s="63"/>
      <c r="D234" s="63"/>
      <c r="E234" s="63"/>
      <c r="F234" s="62"/>
      <c r="G234" s="64"/>
      <c r="H234" s="62"/>
      <c r="I234" s="74"/>
      <c r="J234" s="74"/>
    </row>
    <row r="235" spans="1:10" s="51" customFormat="1" x14ac:dyDescent="0.3">
      <c r="A235" s="60"/>
      <c r="B235" s="69"/>
      <c r="C235" s="63"/>
      <c r="D235" s="63"/>
      <c r="E235" s="63"/>
      <c r="F235" s="62"/>
      <c r="G235" s="64"/>
      <c r="H235" s="62"/>
      <c r="I235" s="74"/>
      <c r="J235" s="74"/>
    </row>
    <row r="236" spans="1:10" s="51" customFormat="1" x14ac:dyDescent="0.3">
      <c r="A236" s="60"/>
      <c r="B236" s="61"/>
      <c r="C236" s="69"/>
      <c r="D236" s="70"/>
      <c r="E236" s="70"/>
      <c r="F236" s="61"/>
      <c r="G236" s="78"/>
      <c r="H236" s="63"/>
      <c r="I236" s="72"/>
      <c r="J236" s="72"/>
    </row>
    <row r="237" spans="1:10" s="51" customFormat="1" x14ac:dyDescent="0.3">
      <c r="A237" s="60"/>
      <c r="B237" s="69"/>
      <c r="C237" s="63"/>
      <c r="D237" s="63"/>
      <c r="E237" s="63"/>
      <c r="F237" s="62"/>
      <c r="G237" s="64"/>
      <c r="H237" s="62"/>
      <c r="I237" s="74"/>
      <c r="J237" s="74"/>
    </row>
    <row r="238" spans="1:10" s="51" customFormat="1" x14ac:dyDescent="0.3">
      <c r="A238" s="60"/>
      <c r="B238" s="69"/>
      <c r="C238" s="63"/>
      <c r="D238" s="63"/>
      <c r="E238" s="63"/>
      <c r="F238" s="62"/>
      <c r="G238" s="64"/>
      <c r="H238" s="62"/>
      <c r="I238" s="74"/>
      <c r="J238" s="74"/>
    </row>
    <row r="239" spans="1:10" s="51" customFormat="1" x14ac:dyDescent="0.3">
      <c r="A239" s="60"/>
      <c r="B239" s="69"/>
      <c r="C239" s="63"/>
      <c r="D239" s="63"/>
      <c r="E239" s="63"/>
      <c r="F239" s="62"/>
      <c r="G239" s="64"/>
      <c r="H239" s="62"/>
      <c r="I239" s="74"/>
      <c r="J239" s="74"/>
    </row>
    <row r="240" spans="1:10" s="51" customFormat="1" x14ac:dyDescent="0.3">
      <c r="A240" s="60"/>
      <c r="B240" s="61"/>
      <c r="C240" s="69"/>
      <c r="D240" s="70"/>
      <c r="E240" s="70"/>
      <c r="F240" s="61"/>
      <c r="G240" s="78"/>
      <c r="H240" s="63"/>
      <c r="I240" s="72"/>
      <c r="J240" s="72"/>
    </row>
    <row r="241" spans="1:10" s="51" customFormat="1" x14ac:dyDescent="0.3">
      <c r="A241" s="60"/>
      <c r="B241" s="69"/>
      <c r="C241" s="63"/>
      <c r="D241" s="63"/>
      <c r="E241" s="63"/>
      <c r="F241" s="62"/>
      <c r="G241" s="64"/>
      <c r="H241" s="62"/>
      <c r="I241" s="74"/>
      <c r="J241" s="74"/>
    </row>
    <row r="242" spans="1:10" s="51" customFormat="1" x14ac:dyDescent="0.3">
      <c r="A242" s="60"/>
      <c r="B242" s="69"/>
      <c r="C242" s="63"/>
      <c r="D242" s="63"/>
      <c r="E242" s="63"/>
      <c r="F242" s="62"/>
      <c r="G242" s="64"/>
      <c r="H242" s="62"/>
      <c r="I242" s="74"/>
      <c r="J242" s="74"/>
    </row>
    <row r="243" spans="1:10" s="51" customFormat="1" x14ac:dyDescent="0.3">
      <c r="A243" s="60" t="s">
        <v>83</v>
      </c>
      <c r="B243" s="69"/>
      <c r="C243" s="63"/>
      <c r="D243" s="63"/>
      <c r="E243" s="63"/>
      <c r="F243" s="62"/>
      <c r="G243" s="64"/>
      <c r="H243" s="62"/>
      <c r="I243" s="74"/>
      <c r="J243" s="74"/>
    </row>
  </sheetData>
  <mergeCells count="9">
    <mergeCell ref="B182:B188"/>
    <mergeCell ref="B190:B196"/>
    <mergeCell ref="A1:H1"/>
    <mergeCell ref="K13:L13"/>
    <mergeCell ref="B137:C137"/>
    <mergeCell ref="B162:B164"/>
    <mergeCell ref="B166:B172"/>
    <mergeCell ref="B174:B180"/>
    <mergeCell ref="A2:H2"/>
  </mergeCells>
  <printOptions horizontalCentered="1"/>
  <pageMargins left="0.3" right="0.196850393700787" top="0.17" bottom="0.3" header="0.31496062992126" footer="0.2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V595"/>
  <sheetViews>
    <sheetView topLeftCell="A4" zoomScale="110" zoomScaleNormal="110" workbookViewId="0">
      <selection activeCell="L6" sqref="L6"/>
    </sheetView>
  </sheetViews>
  <sheetFormatPr defaultColWidth="9" defaultRowHeight="18" x14ac:dyDescent="0.35"/>
  <cols>
    <col min="1" max="1" width="4.88671875" style="2" customWidth="1"/>
    <col min="2" max="2" width="19" style="2" customWidth="1"/>
    <col min="3" max="3" width="10.5546875" style="7" customWidth="1"/>
    <col min="4" max="4" width="11.6640625" style="7" hidden="1" customWidth="1"/>
    <col min="5" max="5" width="9.33203125" style="197" customWidth="1"/>
    <col min="6" max="6" width="9.88671875" style="2" customWidth="1"/>
    <col min="7" max="7" width="8.109375" style="2" hidden="1" customWidth="1"/>
    <col min="8" max="8" width="8.109375" style="2" customWidth="1"/>
    <col min="9" max="9" width="12.44140625" style="197" customWidth="1"/>
    <col min="10" max="10" width="12.33203125" style="173" customWidth="1"/>
    <col min="11" max="11" width="13.109375" style="173" customWidth="1"/>
    <col min="12" max="12" width="14" style="174" customWidth="1"/>
    <col min="13" max="13" width="10" style="174" customWidth="1"/>
    <col min="14" max="15" width="18" style="174" customWidth="1"/>
    <col min="16" max="17" width="15.109375" style="174" customWidth="1"/>
    <col min="18" max="18" width="20.44140625" style="174" customWidth="1"/>
    <col min="19" max="20" width="9" style="174"/>
    <col min="21" max="21" width="9" style="175"/>
    <col min="22" max="22" width="18" style="175" customWidth="1"/>
    <col min="23" max="16384" width="9" style="175"/>
  </cols>
  <sheetData>
    <row r="1" spans="1:21" s="129" customFormat="1" ht="21.75" customHeight="1" x14ac:dyDescent="0.35">
      <c r="A1" s="679" t="s">
        <v>613</v>
      </c>
      <c r="B1" s="679"/>
      <c r="C1" s="679"/>
      <c r="D1" s="679"/>
      <c r="E1" s="679"/>
      <c r="F1" s="679"/>
      <c r="G1" s="679"/>
      <c r="H1" s="679"/>
      <c r="I1" s="679"/>
      <c r="J1" s="679"/>
      <c r="K1" s="679"/>
      <c r="L1" s="679"/>
      <c r="M1" s="679"/>
      <c r="N1" s="269"/>
      <c r="O1" s="269"/>
      <c r="P1" s="270"/>
      <c r="Q1" s="270"/>
      <c r="R1" s="270"/>
      <c r="S1" s="2"/>
      <c r="T1" s="2"/>
    </row>
    <row r="2" spans="1:21" s="129" customFormat="1" ht="15.75" customHeight="1" x14ac:dyDescent="0.35">
      <c r="A2" s="680" t="s">
        <v>610</v>
      </c>
      <c r="B2" s="680"/>
      <c r="C2" s="680"/>
      <c r="D2" s="680"/>
      <c r="E2" s="680"/>
      <c r="F2" s="680"/>
      <c r="G2" s="680"/>
      <c r="H2" s="680"/>
      <c r="I2" s="680"/>
      <c r="J2" s="680"/>
      <c r="K2" s="680"/>
      <c r="L2" s="680"/>
      <c r="M2" s="680"/>
      <c r="N2" s="271"/>
      <c r="O2" s="271"/>
      <c r="P2" s="270"/>
      <c r="Q2" s="270"/>
      <c r="R2" s="270"/>
      <c r="S2" s="2"/>
      <c r="T2" s="2"/>
    </row>
    <row r="3" spans="1:21" s="129" customFormat="1" ht="15.75" customHeight="1" x14ac:dyDescent="0.35">
      <c r="A3" s="272"/>
      <c r="B3" s="272"/>
      <c r="C3" s="272"/>
      <c r="D3" s="272"/>
      <c r="E3" s="270"/>
      <c r="F3" s="270"/>
      <c r="G3" s="270"/>
      <c r="H3" s="270"/>
      <c r="I3" s="270"/>
      <c r="J3" s="273"/>
      <c r="K3" s="681" t="s">
        <v>145</v>
      </c>
      <c r="L3" s="681"/>
      <c r="M3" s="681"/>
      <c r="N3" s="274"/>
      <c r="O3" s="274"/>
      <c r="P3" s="270"/>
      <c r="Q3" s="270"/>
      <c r="R3" s="270"/>
      <c r="S3" s="2"/>
      <c r="T3" s="2"/>
    </row>
    <row r="4" spans="1:21" s="134" customFormat="1" ht="23.25" customHeight="1" x14ac:dyDescent="0.25">
      <c r="A4" s="682" t="s">
        <v>35</v>
      </c>
      <c r="B4" s="682" t="s">
        <v>146</v>
      </c>
      <c r="C4" s="682" t="s">
        <v>147</v>
      </c>
      <c r="D4" s="682" t="s">
        <v>148</v>
      </c>
      <c r="E4" s="682" t="s">
        <v>558</v>
      </c>
      <c r="F4" s="682" t="s">
        <v>150</v>
      </c>
      <c r="G4" s="684" t="s">
        <v>151</v>
      </c>
      <c r="H4" s="685"/>
      <c r="I4" s="686"/>
      <c r="J4" s="687" t="s">
        <v>152</v>
      </c>
      <c r="K4" s="687" t="s">
        <v>153</v>
      </c>
      <c r="L4" s="688" t="s">
        <v>154</v>
      </c>
      <c r="M4" s="682" t="s">
        <v>42</v>
      </c>
      <c r="N4" s="279"/>
      <c r="O4" s="280" t="s">
        <v>149</v>
      </c>
      <c r="P4" s="280" t="s">
        <v>150</v>
      </c>
      <c r="Q4" s="281" t="s">
        <v>151</v>
      </c>
      <c r="R4" s="282"/>
      <c r="S4" s="150"/>
      <c r="T4" s="689"/>
      <c r="U4" s="689"/>
    </row>
    <row r="5" spans="1:21" s="134" customFormat="1" ht="108.75" customHeight="1" x14ac:dyDescent="0.25">
      <c r="A5" s="683"/>
      <c r="B5" s="683"/>
      <c r="C5" s="683"/>
      <c r="D5" s="683"/>
      <c r="E5" s="683"/>
      <c r="F5" s="683"/>
      <c r="G5" s="278" t="s">
        <v>155</v>
      </c>
      <c r="H5" s="278" t="s">
        <v>156</v>
      </c>
      <c r="I5" s="278" t="s">
        <v>157</v>
      </c>
      <c r="J5" s="687"/>
      <c r="K5" s="687"/>
      <c r="L5" s="688"/>
      <c r="M5" s="683"/>
      <c r="N5" s="279"/>
      <c r="O5" s="284"/>
      <c r="P5" s="284"/>
      <c r="Q5" s="278" t="s">
        <v>156</v>
      </c>
      <c r="R5" s="278" t="s">
        <v>157</v>
      </c>
      <c r="S5" s="135"/>
      <c r="T5" s="690"/>
      <c r="U5" s="690"/>
    </row>
    <row r="6" spans="1:21" s="134" customFormat="1" ht="43.2" x14ac:dyDescent="0.25">
      <c r="A6" s="285">
        <v>1</v>
      </c>
      <c r="B6" s="285">
        <v>2</v>
      </c>
      <c r="C6" s="285">
        <v>3</v>
      </c>
      <c r="D6" s="285">
        <v>4</v>
      </c>
      <c r="E6" s="285">
        <v>5</v>
      </c>
      <c r="F6" s="285">
        <v>6</v>
      </c>
      <c r="G6" s="285">
        <v>7</v>
      </c>
      <c r="H6" s="285">
        <v>8</v>
      </c>
      <c r="I6" s="285">
        <v>9</v>
      </c>
      <c r="J6" s="411" t="s">
        <v>612</v>
      </c>
      <c r="K6" s="411" t="s">
        <v>619</v>
      </c>
      <c r="L6" s="285"/>
      <c r="M6" s="285"/>
      <c r="N6" s="285" t="s">
        <v>158</v>
      </c>
      <c r="O6" s="278" t="s">
        <v>10</v>
      </c>
      <c r="P6" s="286" t="s">
        <v>159</v>
      </c>
      <c r="Q6" s="286" t="s">
        <v>160</v>
      </c>
      <c r="R6" s="167"/>
      <c r="S6" s="133"/>
      <c r="T6" s="133"/>
    </row>
    <row r="7" spans="1:21" s="134" customFormat="1" ht="31.5" customHeight="1" x14ac:dyDescent="0.25">
      <c r="A7" s="283"/>
      <c r="B7" s="283" t="s">
        <v>161</v>
      </c>
      <c r="C7" s="287">
        <f>E7+F7</f>
        <v>1190</v>
      </c>
      <c r="D7" s="288"/>
      <c r="E7" s="289">
        <f>E10+E11+E12+E13+E14+E15+E16+E17+E18+E19</f>
        <v>533</v>
      </c>
      <c r="F7" s="289">
        <f t="shared" ref="F7:H7" si="0">F10+F11+F12+F13+F14+F15+F16+F17+F18+F19</f>
        <v>657</v>
      </c>
      <c r="G7" s="289">
        <f t="shared" si="0"/>
        <v>1090</v>
      </c>
      <c r="H7" s="289">
        <f t="shared" si="0"/>
        <v>1179</v>
      </c>
      <c r="I7" s="289">
        <f>I10+I11+I12+I13+I14+I15+I16+I17+I18+I19</f>
        <v>794</v>
      </c>
      <c r="J7" s="289">
        <f t="shared" ref="J7:L7" si="1">J10+J11+J12+J13+J14+J15+J16+J17+J18+J19</f>
        <v>5512800</v>
      </c>
      <c r="K7" s="289">
        <f t="shared" si="1"/>
        <v>11847000</v>
      </c>
      <c r="L7" s="289">
        <f t="shared" si="1"/>
        <v>15463800</v>
      </c>
      <c r="M7" s="283"/>
      <c r="N7" s="278" t="s">
        <v>162</v>
      </c>
      <c r="O7" s="372">
        <f>P7+Q7</f>
        <v>15463800</v>
      </c>
      <c r="P7" s="290">
        <f>SUM(P10:P14)</f>
        <v>6391200</v>
      </c>
      <c r="Q7" s="290">
        <f>SUM(Q10:Q14)</f>
        <v>9072600</v>
      </c>
      <c r="R7" s="291"/>
      <c r="S7" s="136"/>
      <c r="T7" s="136"/>
    </row>
    <row r="8" spans="1:21" s="134" customFormat="1" ht="31.5" customHeight="1" x14ac:dyDescent="0.25">
      <c r="A8" s="283"/>
      <c r="B8" s="288"/>
      <c r="C8" s="285" t="s">
        <v>163</v>
      </c>
      <c r="D8" s="288"/>
      <c r="E8" s="289">
        <f>E10+E12+E14+E16+E18</f>
        <v>260</v>
      </c>
      <c r="F8" s="289">
        <f t="shared" ref="F8:L9" si="2">F10+F12+F14+F16+F18</f>
        <v>338</v>
      </c>
      <c r="G8" s="289">
        <f t="shared" si="2"/>
        <v>544</v>
      </c>
      <c r="H8" s="289">
        <f t="shared" si="2"/>
        <v>635</v>
      </c>
      <c r="I8" s="289">
        <f t="shared" si="2"/>
        <v>390</v>
      </c>
      <c r="J8" s="289">
        <f t="shared" si="2"/>
        <v>2594400</v>
      </c>
      <c r="K8" s="289">
        <f t="shared" si="2"/>
        <v>5692800</v>
      </c>
      <c r="L8" s="289">
        <f t="shared" si="2"/>
        <v>6391200</v>
      </c>
      <c r="M8" s="283"/>
      <c r="N8" s="278"/>
      <c r="O8" s="372"/>
      <c r="P8" s="290"/>
      <c r="Q8" s="290"/>
      <c r="R8" s="291"/>
      <c r="S8" s="136"/>
      <c r="T8" s="136"/>
    </row>
    <row r="9" spans="1:21" s="134" customFormat="1" ht="31.5" customHeight="1" x14ac:dyDescent="0.25">
      <c r="A9" s="283"/>
      <c r="B9" s="288"/>
      <c r="C9" s="285" t="s">
        <v>164</v>
      </c>
      <c r="D9" s="288"/>
      <c r="E9" s="289">
        <f>E11+E13+E15+E17+E19</f>
        <v>273</v>
      </c>
      <c r="F9" s="289">
        <f t="shared" si="2"/>
        <v>319</v>
      </c>
      <c r="G9" s="289">
        <f t="shared" si="2"/>
        <v>546</v>
      </c>
      <c r="H9" s="289">
        <f t="shared" si="2"/>
        <v>544</v>
      </c>
      <c r="I9" s="289">
        <f t="shared" si="2"/>
        <v>404</v>
      </c>
      <c r="J9" s="289">
        <f t="shared" si="2"/>
        <v>2918400</v>
      </c>
      <c r="K9" s="289">
        <f t="shared" si="2"/>
        <v>6154200</v>
      </c>
      <c r="L9" s="289">
        <f t="shared" si="2"/>
        <v>9072600</v>
      </c>
      <c r="M9" s="283"/>
      <c r="N9" s="278"/>
      <c r="O9" s="372"/>
      <c r="P9" s="290"/>
      <c r="Q9" s="290"/>
      <c r="R9" s="291"/>
      <c r="S9" s="136"/>
      <c r="T9" s="136"/>
    </row>
    <row r="10" spans="1:21" s="134" customFormat="1" ht="31.5" customHeight="1" x14ac:dyDescent="0.25">
      <c r="A10" s="283"/>
      <c r="B10" s="691" t="s">
        <v>4</v>
      </c>
      <c r="C10" s="285" t="s">
        <v>163</v>
      </c>
      <c r="D10" s="278"/>
      <c r="E10" s="283">
        <f>E300+E310+E338+E395+E437+E472+SUM(F478:F493)+SUM(F511:F521)</f>
        <v>107</v>
      </c>
      <c r="F10" s="283">
        <f>F300+F310+F338+F395+F437+F472+SUM(G478:G493)+SUM(G511:G521)</f>
        <v>168</v>
      </c>
      <c r="G10" s="283">
        <f t="shared" ref="G10" si="3">G300+G310+G338+G395+G437+G472+SUM(H478:H493)+SUM(H511:H521)</f>
        <v>193</v>
      </c>
      <c r="H10" s="292">
        <f>H300+H310+H338+H395+H437+H472+SUM(I478:I493)+SUM(I511:I521)+Q300+Q310+Q338+Q399+Q437+Q477+Q510</f>
        <v>184</v>
      </c>
      <c r="I10" s="283">
        <f>91+R300+24+14+1</f>
        <v>133</v>
      </c>
      <c r="J10" s="373">
        <f t="shared" ref="J10:L10" si="4">J300+J310+J338+J395+J437+J472+SUM(K478:K493)+SUM(K511:K521)</f>
        <v>1356000</v>
      </c>
      <c r="K10" s="373">
        <f t="shared" si="4"/>
        <v>2228400</v>
      </c>
      <c r="L10" s="373">
        <f t="shared" si="4"/>
        <v>1688400</v>
      </c>
      <c r="M10" s="283"/>
      <c r="N10" s="293">
        <v>2026</v>
      </c>
      <c r="O10" s="372">
        <f t="shared" ref="O10:O14" si="5">P10+Q10</f>
        <v>3576000</v>
      </c>
      <c r="P10" s="294">
        <f>L10</f>
        <v>1688400</v>
      </c>
      <c r="Q10" s="295">
        <f>L11</f>
        <v>1887600</v>
      </c>
      <c r="R10" s="168"/>
      <c r="S10" s="136"/>
      <c r="T10" s="136"/>
    </row>
    <row r="11" spans="1:21" s="134" customFormat="1" ht="24" customHeight="1" x14ac:dyDescent="0.25">
      <c r="A11" s="283"/>
      <c r="B11" s="692"/>
      <c r="C11" s="285" t="s">
        <v>164</v>
      </c>
      <c r="D11" s="278"/>
      <c r="E11" s="283">
        <f>E24+E33+E37+E48+E60+E63+E64+E65+E66+E85+E86+E99+E126+E127+E128+E148+E156+E157+E161+E167+E169+E170+E174+SUM(E186:E196)+E260+E279+E280</f>
        <v>58</v>
      </c>
      <c r="F11" s="283">
        <f>F24+F33+F37+F48+F60+SUM(F63:F66)+F85+F86+F99+F126+F127+F128+F148+F156+F167+F169+F170+F174+SUM(F186:F196)+F260+F279+F280</f>
        <v>70</v>
      </c>
      <c r="G11" s="283">
        <v>109</v>
      </c>
      <c r="H11" s="283">
        <f>H24+H33+H37+H48+H60+SUM(H63:H66)+H85+H86+H99+H126+H127+H128+H148+H156+H167+H169+H170+H174+SUM(H186:H196)+H260+H279+H280+Q24+Q33+Q48+Q60+Q63+Q65+Q66+Q85+Q86+Q128+Q156+Q157+Q161+Q174+SUM(Q186:Q196)+Q278</f>
        <v>140</v>
      </c>
      <c r="I11" s="283">
        <f>I24+I33+I37+I48+I60+SUM(I63:I66)+I85+I86+I99+I126+I127+I128+I148+I156+I167+I169+I170+I174+SUM(I186:I196)+I260+I279+I280+R24+R33+R48+R60+R63+R65+R66+R85+R86+R128+R156+R157+R161+R174+SUM(R186:R196)+R278</f>
        <v>60</v>
      </c>
      <c r="J11" s="373">
        <f t="shared" ref="J11:L11" si="6">J24+J33+J37+J48+J60+SUM(J63:J66)+J85+J86+J99+J126+J127+J128+J148+J156+J167+J169+J170+J174+SUM(J186:J196)+J260+J279+J280</f>
        <v>518400</v>
      </c>
      <c r="K11" s="373">
        <f t="shared" si="6"/>
        <v>1369200</v>
      </c>
      <c r="L11" s="373">
        <f t="shared" si="6"/>
        <v>1887600</v>
      </c>
      <c r="M11" s="283"/>
      <c r="N11" s="293">
        <v>2027</v>
      </c>
      <c r="O11" s="372">
        <f t="shared" si="5"/>
        <v>3606600</v>
      </c>
      <c r="P11" s="294">
        <f>L12</f>
        <v>1155600</v>
      </c>
      <c r="Q11" s="295">
        <f>L13</f>
        <v>2451000</v>
      </c>
      <c r="R11" s="168"/>
      <c r="S11" s="136"/>
      <c r="T11" s="136"/>
    </row>
    <row r="12" spans="1:21" s="134" customFormat="1" ht="24" customHeight="1" x14ac:dyDescent="0.25">
      <c r="A12" s="283"/>
      <c r="B12" s="682" t="s">
        <v>6</v>
      </c>
      <c r="C12" s="285" t="s">
        <v>163</v>
      </c>
      <c r="D12" s="278"/>
      <c r="E12" s="283">
        <f>E302+E320+E349+E410+E457+E458+E459+SUM(E495:E500)+E526+E527</f>
        <v>40</v>
      </c>
      <c r="F12" s="283">
        <f t="shared" ref="F12:L12" si="7">F302+F320+F349+F410+F457+F458+F459+SUM(F495:F500)+F526+F527</f>
        <v>42</v>
      </c>
      <c r="G12" s="283">
        <f t="shared" si="7"/>
        <v>104</v>
      </c>
      <c r="H12" s="283">
        <f>H302+H320+H349+H410+H457+H458+H459+SUM(H495:H500)+H526+H527+Q302+Q320+Q349+Q457+Q499</f>
        <v>83</v>
      </c>
      <c r="I12" s="283">
        <f>I302+I320+I349+I410+I457+I458+I459+SUM(I495:I500)+I526+I527+R302+R320+R349+R457+R499</f>
        <v>78</v>
      </c>
      <c r="J12" s="373">
        <f t="shared" si="7"/>
        <v>374400</v>
      </c>
      <c r="K12" s="373">
        <f t="shared" si="7"/>
        <v>781200</v>
      </c>
      <c r="L12" s="373">
        <f t="shared" si="7"/>
        <v>1155600</v>
      </c>
      <c r="M12" s="283"/>
      <c r="N12" s="293">
        <v>2028</v>
      </c>
      <c r="O12" s="372">
        <f t="shared" si="5"/>
        <v>3745800</v>
      </c>
      <c r="P12" s="294">
        <f>L14</f>
        <v>1438800</v>
      </c>
      <c r="Q12" s="295">
        <f>L15</f>
        <v>2307000</v>
      </c>
      <c r="R12" s="168"/>
      <c r="S12" s="136"/>
      <c r="T12" s="136"/>
    </row>
    <row r="13" spans="1:21" s="134" customFormat="1" ht="24" customHeight="1" x14ac:dyDescent="0.25">
      <c r="A13" s="283"/>
      <c r="B13" s="683"/>
      <c r="C13" s="285" t="s">
        <v>164</v>
      </c>
      <c r="D13" s="278"/>
      <c r="E13" s="283">
        <f>E26+E39+E50+E68+E69+E70+E71+E72+E73+E88+E89+E101+E102+E103+E104+E105+E106+E130+E131+E142+E149+E176+SUM(E198:E210)+E249+E250+E262+E282+E292+E296</f>
        <v>71</v>
      </c>
      <c r="F13" s="283">
        <f t="shared" ref="F13:L13" si="8">F26+F39+F50+F68+F69+F70+F71+F72+F73+F88+F89+F101+F102+F103+F104+F105+F106+F130+F131+F142+F149+F176+SUM(F198:F210)+F249+F250+F262+F282+F292+F296</f>
        <v>83</v>
      </c>
      <c r="G13" s="283">
        <v>140</v>
      </c>
      <c r="H13" s="292">
        <f>H26+H39+H50+H68+H69+H70+H71+H72+H73+H88+H89+H101+H102+H103+H104+H105+H106+H130+H131+H142+H149+H176+SUM(H198:H210)+H249+H250+H262+H282+H292+H296+Q26+Q39+Q50+Q68+Q69+Q70+Q73+Q88+Q89+Q90+Q131+Q142+Q149+Q176+SUM(Q198:Q210)+Q248+Q282+Q292</f>
        <v>137</v>
      </c>
      <c r="I13" s="292">
        <f>I26+I39+I50+I68+I69+I70+I71+I72+I73+I88+I89+I101+I102+I103+I104+I105+I106+I130+I131+I142+I149+I176+SUM(I198:I210)+I249+I250+I262+I282+I292+I296+R26+R39+R50+R68+R69+R70+R73+R88+R89+R90+R131+R142+R149+R176+SUM(R198:R210)+R248+R282+R292</f>
        <v>114</v>
      </c>
      <c r="J13" s="373">
        <f t="shared" si="8"/>
        <v>811200</v>
      </c>
      <c r="K13" s="373">
        <f t="shared" si="8"/>
        <v>1639800</v>
      </c>
      <c r="L13" s="373">
        <f t="shared" si="8"/>
        <v>2451000</v>
      </c>
      <c r="M13" s="283"/>
      <c r="N13" s="293">
        <v>2029</v>
      </c>
      <c r="O13" s="372">
        <f t="shared" si="5"/>
        <v>2586000</v>
      </c>
      <c r="P13" s="294">
        <f>L16</f>
        <v>1225800</v>
      </c>
      <c r="Q13" s="295">
        <f>L17</f>
        <v>1360200</v>
      </c>
      <c r="R13" s="168"/>
      <c r="S13" s="136"/>
      <c r="T13" s="136"/>
    </row>
    <row r="14" spans="1:21" s="134" customFormat="1" ht="24" customHeight="1" x14ac:dyDescent="0.25">
      <c r="A14" s="283"/>
      <c r="B14" s="682" t="s">
        <v>7</v>
      </c>
      <c r="C14" s="285" t="s">
        <v>163</v>
      </c>
      <c r="D14" s="278"/>
      <c r="E14" s="283">
        <f>E304+E325+E360+E416+E444+E461+E474+E502+E503+E526+E527</f>
        <v>39</v>
      </c>
      <c r="F14" s="283">
        <f t="shared" ref="F14:L14" si="9">F304+F325+F360+F416+F444+F461+F474+F502+F503+F526+F527</f>
        <v>50</v>
      </c>
      <c r="G14" s="283">
        <f t="shared" si="9"/>
        <v>85</v>
      </c>
      <c r="H14" s="283">
        <f>H304+H325+H360+H416+H444+H461+H474+H502+H503+H526+H527+Q304+Q325+Q360+Q416+Q444+Q461+Q527</f>
        <v>140</v>
      </c>
      <c r="I14" s="283">
        <f>I304+I325+I360+I416+I444+I461+I474+I502+I503+I526+I527+R304+R325+R360+R416+R444+R461+R527</f>
        <v>63</v>
      </c>
      <c r="J14" s="373">
        <f t="shared" si="9"/>
        <v>307200</v>
      </c>
      <c r="K14" s="373">
        <f t="shared" si="9"/>
        <v>1131600</v>
      </c>
      <c r="L14" s="373">
        <f t="shared" si="9"/>
        <v>1438800</v>
      </c>
      <c r="M14" s="283"/>
      <c r="N14" s="293">
        <v>2030</v>
      </c>
      <c r="O14" s="372">
        <f t="shared" si="5"/>
        <v>1949400</v>
      </c>
      <c r="P14" s="294">
        <f>L18</f>
        <v>882600</v>
      </c>
      <c r="Q14" s="295">
        <f>L19</f>
        <v>1066800</v>
      </c>
      <c r="R14" s="168"/>
      <c r="S14" s="136"/>
      <c r="T14" s="136"/>
    </row>
    <row r="15" spans="1:21" s="134" customFormat="1" ht="24" customHeight="1" x14ac:dyDescent="0.25">
      <c r="A15" s="283"/>
      <c r="B15" s="683"/>
      <c r="C15" s="285" t="s">
        <v>164</v>
      </c>
      <c r="D15" s="278"/>
      <c r="E15" s="283">
        <f>E28+E41+E52+E75+E76+E77+E78+E92+E93+SUM(E108:E114)+E133+E134+E144+E145+E150+E163+E178+SUM(E212:E220)+E252+E253+E265+E266+E284</f>
        <v>64</v>
      </c>
      <c r="F15" s="283">
        <f t="shared" ref="F15:L15" si="10">F28+F41+F52+F75+F76+F77+F78+F92+F93+SUM(F108:F114)+F133+F134+F144+F145+F150+F163+F178+SUM(F212:F220)+F252+F253+F265+F266+F284</f>
        <v>75</v>
      </c>
      <c r="G15" s="283">
        <v>138</v>
      </c>
      <c r="H15" s="283">
        <f>H28+H41+H52+H75+H76+H77+H78+H92+H93+SUM(H108:H114)+H133+H134+H144+H145+H150+H163+H178+SUM(H212:H220)+H252+H253+H265+H266+H284+Q28+Q41+Q52+Q75+Q76+Q78+Q92+Q93+Q112+Q133+Q134+Q144+Q145+Q150+Q163+Q178+SUM(Q212:Q220)+Q252+Q253+Q284</f>
        <v>150</v>
      </c>
      <c r="I15" s="283">
        <f>I28+I41+I52+I75+I76+I77+I78+I92+I93+SUM(I108:I114)+I133+I134+I144+I145+I150+I163+I178+SUM(I212:I220)+I252+I253+I265+I266+I284+R28+R41+R52+R75+R76+R78+R92+R93+R112+R133+R134+R144+R145+R150+R163+R178+SUM(R212:R220)+R252+R253+R284</f>
        <v>97</v>
      </c>
      <c r="J15" s="373">
        <f t="shared" si="10"/>
        <v>720000</v>
      </c>
      <c r="K15" s="373">
        <f t="shared" si="10"/>
        <v>1587000</v>
      </c>
      <c r="L15" s="373">
        <f t="shared" si="10"/>
        <v>2307000</v>
      </c>
      <c r="M15" s="315"/>
      <c r="N15" s="279"/>
      <c r="O15" s="279"/>
      <c r="P15" s="167"/>
      <c r="Q15" s="291"/>
      <c r="R15" s="291"/>
      <c r="S15" s="136"/>
      <c r="T15" s="136"/>
    </row>
    <row r="16" spans="1:21" s="134" customFormat="1" ht="24" customHeight="1" x14ac:dyDescent="0.25">
      <c r="A16" s="283"/>
      <c r="B16" s="682" t="s">
        <v>8</v>
      </c>
      <c r="C16" s="285" t="s">
        <v>163</v>
      </c>
      <c r="D16" s="278"/>
      <c r="E16" s="283">
        <f>E306+E329+E371+E423+SUM(E446:E451)+E463+E505+E506+E507</f>
        <v>44</v>
      </c>
      <c r="F16" s="283">
        <f t="shared" ref="F16:L16" si="11">F306+F329+F371+F423+SUM(F446:F451)+F463+F505+F506+F507</f>
        <v>45</v>
      </c>
      <c r="G16" s="283">
        <f t="shared" si="11"/>
        <v>96</v>
      </c>
      <c r="H16" s="283">
        <f>H306+H329+H371+H423+SUM(H446:H451)+H463+H505+H506+H507+Q306+Q329+Q371+Q423+Q445+Q463+Q507</f>
        <v>159</v>
      </c>
      <c r="I16" s="283">
        <f>I306+I329+I371+I423+SUM(I446:I451)+I463+I505+I506+I507+R306+R329+R371+R423+R445+R463+R507</f>
        <v>63</v>
      </c>
      <c r="J16" s="373">
        <f t="shared" si="11"/>
        <v>302400</v>
      </c>
      <c r="K16" s="373">
        <f t="shared" si="11"/>
        <v>923400</v>
      </c>
      <c r="L16" s="373">
        <f t="shared" si="11"/>
        <v>1225800</v>
      </c>
      <c r="M16" s="315"/>
      <c r="N16" s="279"/>
      <c r="O16" s="279"/>
      <c r="P16" s="167"/>
      <c r="Q16" s="291"/>
      <c r="R16" s="291"/>
      <c r="S16" s="136"/>
      <c r="T16" s="136"/>
    </row>
    <row r="17" spans="1:22" s="134" customFormat="1" ht="24" customHeight="1" x14ac:dyDescent="0.25">
      <c r="A17" s="283"/>
      <c r="B17" s="683"/>
      <c r="C17" s="285" t="s">
        <v>164</v>
      </c>
      <c r="D17" s="278"/>
      <c r="E17" s="289">
        <f>E30+E43+E54+E80+E81+E95+E116+E117++E136+E151+E180+SUM(E222:E229)+SUM(E268:E269)+E275+E295</f>
        <v>43</v>
      </c>
      <c r="F17" s="289">
        <f t="shared" ref="F17:L17" si="12">F30+F43+F54+F80+F81+F95+F116+F117++F136+F151+F180+SUM(F222:F229)+SUM(F268:F269)+F275+F295</f>
        <v>53</v>
      </c>
      <c r="G17" s="289">
        <v>91</v>
      </c>
      <c r="H17" s="289">
        <f>H30+H43+H54+H80+H81+H95+H116+H117++H136+H151+H180+SUM(H222:H229)+SUM(H268:H269)+H275+H296+Q30+Q43+Q54+Q80+Q95+Q117+Q151+Q180+SUM(Q222:Q229)+P275+Q296</f>
        <v>65</v>
      </c>
      <c r="I17" s="289">
        <f>I30+I43+I54+I80+I81+I95+I116+I117++I136+I151+I180+SUM(I222:I229)+SUM(I268:I269)+I275+I296+R30+R43+R54+R80+R95+R117+R151+R180+SUM(R222:R229)+Q275+R296</f>
        <v>85</v>
      </c>
      <c r="J17" s="373">
        <f t="shared" si="12"/>
        <v>494400</v>
      </c>
      <c r="K17" s="373">
        <f t="shared" si="12"/>
        <v>865800</v>
      </c>
      <c r="L17" s="373">
        <f t="shared" si="12"/>
        <v>1360200</v>
      </c>
      <c r="M17" s="315"/>
      <c r="N17" s="279"/>
      <c r="O17" s="279"/>
      <c r="P17" s="167"/>
      <c r="Q17" s="291"/>
      <c r="R17" s="291"/>
      <c r="S17" s="136"/>
      <c r="T17" s="136"/>
    </row>
    <row r="18" spans="1:22" s="134" customFormat="1" ht="24" customHeight="1" x14ac:dyDescent="0.25">
      <c r="A18" s="283"/>
      <c r="B18" s="682" t="s">
        <v>165</v>
      </c>
      <c r="C18" s="285" t="s">
        <v>163</v>
      </c>
      <c r="D18" s="278"/>
      <c r="E18" s="289">
        <f>E308+E333+E382+E432+E453+E466+E467+E530</f>
        <v>30</v>
      </c>
      <c r="F18" s="289">
        <f t="shared" ref="F18:L18" si="13">F308+F333+F382+F432+F453+F466+F467+F530</f>
        <v>33</v>
      </c>
      <c r="G18" s="289">
        <f t="shared" si="13"/>
        <v>66</v>
      </c>
      <c r="H18" s="289">
        <f>H308+H333+H382+H432+H453+H466+H467+H530+Q308+Q333+Q382+Q432+Q453+Q530</f>
        <v>69</v>
      </c>
      <c r="I18" s="289">
        <f>I308+I333+I382+I432+I453+I466+I467+I530+R308+R333+R382+R432+R453+R530</f>
        <v>53</v>
      </c>
      <c r="J18" s="373">
        <f t="shared" si="13"/>
        <v>254400</v>
      </c>
      <c r="K18" s="373">
        <f t="shared" si="13"/>
        <v>628200</v>
      </c>
      <c r="L18" s="373">
        <f t="shared" si="13"/>
        <v>882600</v>
      </c>
      <c r="M18" s="315"/>
      <c r="N18" s="279"/>
      <c r="O18" s="279"/>
      <c r="P18" s="167"/>
      <c r="Q18" s="291"/>
      <c r="R18" s="291"/>
      <c r="S18" s="136"/>
      <c r="T18" s="136"/>
    </row>
    <row r="19" spans="1:22" s="134" customFormat="1" ht="24" customHeight="1" x14ac:dyDescent="0.25">
      <c r="A19" s="283"/>
      <c r="B19" s="683"/>
      <c r="C19" s="285" t="s">
        <v>164</v>
      </c>
      <c r="D19" s="278"/>
      <c r="E19" s="289">
        <f>E45+E56+SUM(E119:E122)+E138+E152+E182+SUM(E231:E244)+E256+E271+E288</f>
        <v>37</v>
      </c>
      <c r="F19" s="289">
        <f t="shared" ref="F19:L19" si="14">F45+F56+SUM(F119:F122)+F138+F152+F182+SUM(F231:F244)+F256+F271+F288</f>
        <v>38</v>
      </c>
      <c r="G19" s="289">
        <v>68</v>
      </c>
      <c r="H19" s="289">
        <f>H45+H56+SUM(H119:H122)+H138+H152+H182+SUM(H231:H244)+H256+H271+H288+Q45+Q56+Q152+Q182+Q242+Q243+Q244+Q256+Q288</f>
        <v>52</v>
      </c>
      <c r="I19" s="289">
        <f>I45+I56+SUM(I119:I122)+I138+I152+I182+SUM(I231:I244)+I256+I271+I288+R45+R56+R152+R182+R242+R243+R244+R256+R288</f>
        <v>48</v>
      </c>
      <c r="J19" s="373">
        <f t="shared" si="14"/>
        <v>374400</v>
      </c>
      <c r="K19" s="373">
        <f t="shared" si="14"/>
        <v>692400</v>
      </c>
      <c r="L19" s="373">
        <f t="shared" si="14"/>
        <v>1066800</v>
      </c>
      <c r="M19" s="315"/>
      <c r="N19" s="279"/>
      <c r="O19" s="279"/>
      <c r="P19" s="167"/>
      <c r="Q19" s="291"/>
      <c r="R19" s="291"/>
      <c r="S19" s="136"/>
      <c r="T19" s="136"/>
    </row>
    <row r="20" spans="1:22" s="134" customFormat="1" ht="24" customHeight="1" x14ac:dyDescent="0.25">
      <c r="A20" s="695" t="s">
        <v>166</v>
      </c>
      <c r="B20" s="696"/>
      <c r="C20" s="697"/>
      <c r="D20" s="288"/>
      <c r="E20" s="289"/>
      <c r="F20" s="289"/>
      <c r="G20" s="289"/>
      <c r="H20" s="289"/>
      <c r="I20" s="289"/>
      <c r="J20" s="374"/>
      <c r="K20" s="374"/>
      <c r="L20" s="374"/>
      <c r="M20" s="283"/>
      <c r="N20" s="279"/>
      <c r="O20" s="279"/>
      <c r="P20" s="167"/>
      <c r="Q20" s="291"/>
      <c r="R20" s="291"/>
      <c r="S20" s="136"/>
      <c r="T20" s="136"/>
    </row>
    <row r="21" spans="1:22" s="134" customFormat="1" ht="42.75" customHeight="1" x14ac:dyDescent="0.25">
      <c r="A21" s="283">
        <v>12</v>
      </c>
      <c r="B21" s="283" t="s">
        <v>167</v>
      </c>
      <c r="C21" s="288"/>
      <c r="D21" s="288"/>
      <c r="E21" s="283"/>
      <c r="F21" s="283"/>
      <c r="G21" s="283"/>
      <c r="H21" s="283"/>
      <c r="I21" s="283"/>
      <c r="J21" s="289"/>
      <c r="K21" s="289"/>
      <c r="L21" s="283"/>
      <c r="M21" s="283"/>
      <c r="N21" s="279"/>
      <c r="O21" s="279"/>
      <c r="P21" s="168"/>
      <c r="Q21" s="168"/>
      <c r="R21" s="168" t="s">
        <v>559</v>
      </c>
    </row>
    <row r="22" spans="1:22" s="139" customFormat="1" ht="33.75" customHeight="1" x14ac:dyDescent="0.3">
      <c r="A22" s="283" t="s">
        <v>168</v>
      </c>
      <c r="B22" s="296" t="s">
        <v>169</v>
      </c>
      <c r="C22" s="275"/>
      <c r="D22" s="275"/>
      <c r="E22" s="278"/>
      <c r="F22" s="278"/>
      <c r="G22" s="278"/>
      <c r="H22" s="278"/>
      <c r="I22" s="278"/>
      <c r="J22" s="297"/>
      <c r="K22" s="298"/>
      <c r="L22" s="298"/>
      <c r="M22" s="299"/>
      <c r="N22" s="300"/>
      <c r="O22" s="300"/>
      <c r="P22" s="170"/>
      <c r="Q22" s="170"/>
      <c r="R22" s="170"/>
    </row>
    <row r="23" spans="1:22" s="139" customFormat="1" ht="36" customHeight="1" x14ac:dyDescent="0.3">
      <c r="A23" s="283"/>
      <c r="B23" s="296" t="s">
        <v>4</v>
      </c>
      <c r="C23" s="278"/>
      <c r="D23" s="275"/>
      <c r="E23" s="278"/>
      <c r="F23" s="278"/>
      <c r="G23" s="278"/>
      <c r="H23" s="278"/>
      <c r="I23" s="375"/>
      <c r="J23" s="298"/>
      <c r="K23" s="298"/>
      <c r="L23" s="298"/>
      <c r="M23" s="299"/>
      <c r="N23" s="300"/>
      <c r="O23" s="300"/>
      <c r="P23" s="170"/>
      <c r="Q23" s="170"/>
      <c r="R23" s="170"/>
      <c r="U23" s="140">
        <v>2026</v>
      </c>
      <c r="V23" s="141">
        <f>L24+L33+L37+L48+L60+L63+L64+L65+L66+L85+L86+L99+SUM(L126:L128)+L148+SUM(L156:L157)+L161+SUM(L167:L170)+L174+SUM(L186:L196)+L259+SUM(L279:L280)</f>
        <v>1962000</v>
      </c>
    </row>
    <row r="24" spans="1:22" s="139" customFormat="1" ht="41.25" customHeight="1" x14ac:dyDescent="0.3">
      <c r="A24" s="301">
        <v>1</v>
      </c>
      <c r="B24" s="302" t="s">
        <v>170</v>
      </c>
      <c r="C24" s="303" t="s">
        <v>171</v>
      </c>
      <c r="D24" s="303" t="s">
        <v>172</v>
      </c>
      <c r="E24" s="304">
        <v>2</v>
      </c>
      <c r="F24" s="304">
        <v>3</v>
      </c>
      <c r="G24" s="304">
        <v>3</v>
      </c>
      <c r="H24" s="303">
        <v>1</v>
      </c>
      <c r="I24" s="376">
        <v>2</v>
      </c>
      <c r="J24" s="305">
        <f>E24*I24*4800</f>
        <v>19200</v>
      </c>
      <c r="K24" s="305">
        <f>F24*H24*4800+F24*9000</f>
        <v>41400</v>
      </c>
      <c r="L24" s="305">
        <f>J24+K24</f>
        <v>60600</v>
      </c>
      <c r="M24" s="306"/>
      <c r="N24" s="300"/>
      <c r="O24" s="300"/>
      <c r="P24" s="170"/>
      <c r="Q24" s="170">
        <v>2</v>
      </c>
      <c r="R24" s="170">
        <v>2</v>
      </c>
      <c r="U24" s="3">
        <v>2027</v>
      </c>
      <c r="V24" s="142">
        <f>L26+L39+L50+SUM(L68:L73)+SUM(L88:L90)+SUM(L101:L106)+L130+L131+L142+L149+L176+SUM(L198:L210)+L248+L261+L282+L292</f>
        <v>2437200</v>
      </c>
    </row>
    <row r="25" spans="1:22" s="145" customFormat="1" ht="36" customHeight="1" x14ac:dyDescent="0.3">
      <c r="A25" s="278"/>
      <c r="B25" s="307" t="s">
        <v>173</v>
      </c>
      <c r="C25" s="278"/>
      <c r="D25" s="278"/>
      <c r="E25" s="278"/>
      <c r="F25" s="278"/>
      <c r="G25" s="278"/>
      <c r="H25" s="278"/>
      <c r="I25" s="377"/>
      <c r="J25" s="305">
        <f t="shared" ref="J25:J33" si="15">E25*I25*4800</f>
        <v>0</v>
      </c>
      <c r="K25" s="305">
        <f t="shared" ref="K25:K33" si="16">F25*H25*4800+F25*9000</f>
        <v>0</v>
      </c>
      <c r="L25" s="305">
        <f t="shared" ref="L25:L33" si="17">J25+K25</f>
        <v>0</v>
      </c>
      <c r="M25" s="307"/>
      <c r="N25" s="308"/>
      <c r="O25" s="308"/>
      <c r="P25" s="172"/>
      <c r="Q25" s="172"/>
      <c r="R25" s="172"/>
      <c r="U25" s="3">
        <v>2028</v>
      </c>
      <c r="V25" s="142">
        <f>L28+L41+L52+SUM(L75:L78)+L92+L93+SUM(L108:L114)+L133+L134+L144+L145+L150+L163+L178+SUM(L212:L220)+L251+L265+L266+L284</f>
        <v>2307000</v>
      </c>
    </row>
    <row r="26" spans="1:22" s="139" customFormat="1" ht="36" customHeight="1" x14ac:dyDescent="0.3">
      <c r="A26" s="304">
        <v>1</v>
      </c>
      <c r="B26" s="299" t="s">
        <v>174</v>
      </c>
      <c r="C26" s="303" t="s">
        <v>171</v>
      </c>
      <c r="D26" s="303" t="s">
        <v>172</v>
      </c>
      <c r="E26" s="304">
        <v>2</v>
      </c>
      <c r="F26" s="304">
        <v>3</v>
      </c>
      <c r="G26" s="304">
        <v>3</v>
      </c>
      <c r="H26" s="304">
        <v>1</v>
      </c>
      <c r="I26" s="376">
        <v>2</v>
      </c>
      <c r="J26" s="305">
        <f t="shared" si="15"/>
        <v>19200</v>
      </c>
      <c r="K26" s="305">
        <f t="shared" si="16"/>
        <v>41400</v>
      </c>
      <c r="L26" s="305">
        <f t="shared" si="17"/>
        <v>60600</v>
      </c>
      <c r="M26" s="299"/>
      <c r="N26" s="300"/>
      <c r="O26" s="300"/>
      <c r="P26" s="170"/>
      <c r="Q26" s="170">
        <v>2</v>
      </c>
      <c r="R26" s="170">
        <v>2</v>
      </c>
      <c r="U26" s="3">
        <v>2029</v>
      </c>
      <c r="V26" s="142">
        <f>L30+L43+L54+L80+L81+L95+L116+L117++L136+L151+L180+SUM(L222:L229)+SUM(L268:L269)+L275+L295</f>
        <v>1360200</v>
      </c>
    </row>
    <row r="27" spans="1:22" s="145" customFormat="1" ht="36" customHeight="1" x14ac:dyDescent="0.3">
      <c r="A27" s="278"/>
      <c r="B27" s="307" t="s">
        <v>175</v>
      </c>
      <c r="C27" s="278"/>
      <c r="D27" s="278"/>
      <c r="E27" s="278"/>
      <c r="F27" s="278"/>
      <c r="G27" s="278"/>
      <c r="H27" s="278"/>
      <c r="I27" s="377"/>
      <c r="J27" s="305">
        <f t="shared" si="15"/>
        <v>0</v>
      </c>
      <c r="K27" s="305">
        <f t="shared" si="16"/>
        <v>0</v>
      </c>
      <c r="L27" s="305">
        <f t="shared" si="17"/>
        <v>0</v>
      </c>
      <c r="M27" s="307"/>
      <c r="N27" s="308"/>
      <c r="O27" s="308"/>
      <c r="P27" s="172"/>
      <c r="Q27" s="172"/>
      <c r="R27" s="172"/>
      <c r="U27" s="3"/>
      <c r="V27" s="3"/>
    </row>
    <row r="28" spans="1:22" s="139" customFormat="1" ht="45" customHeight="1" x14ac:dyDescent="0.3">
      <c r="A28" s="304">
        <v>1</v>
      </c>
      <c r="B28" s="299" t="s">
        <v>176</v>
      </c>
      <c r="C28" s="303" t="s">
        <v>171</v>
      </c>
      <c r="D28" s="303" t="s">
        <v>172</v>
      </c>
      <c r="E28" s="304">
        <v>2</v>
      </c>
      <c r="F28" s="304">
        <v>3</v>
      </c>
      <c r="G28" s="304">
        <v>3</v>
      </c>
      <c r="H28" s="304">
        <v>1</v>
      </c>
      <c r="I28" s="376">
        <v>2</v>
      </c>
      <c r="J28" s="305">
        <f t="shared" si="15"/>
        <v>19200</v>
      </c>
      <c r="K28" s="305">
        <f t="shared" si="16"/>
        <v>41400</v>
      </c>
      <c r="L28" s="305">
        <f t="shared" si="17"/>
        <v>60600</v>
      </c>
      <c r="M28" s="299"/>
      <c r="N28" s="300"/>
      <c r="O28" s="300"/>
      <c r="P28" s="170"/>
      <c r="Q28" s="170">
        <v>2</v>
      </c>
      <c r="R28" s="170">
        <v>2</v>
      </c>
      <c r="U28" s="3"/>
      <c r="V28" s="3"/>
    </row>
    <row r="29" spans="1:22" s="145" customFormat="1" ht="36" customHeight="1" x14ac:dyDescent="0.3">
      <c r="A29" s="278"/>
      <c r="B29" s="307" t="s">
        <v>177</v>
      </c>
      <c r="C29" s="278"/>
      <c r="D29" s="278"/>
      <c r="E29" s="278"/>
      <c r="F29" s="278"/>
      <c r="G29" s="278"/>
      <c r="H29" s="278"/>
      <c r="I29" s="377"/>
      <c r="J29" s="305">
        <f t="shared" si="15"/>
        <v>0</v>
      </c>
      <c r="K29" s="305">
        <f t="shared" si="16"/>
        <v>0</v>
      </c>
      <c r="L29" s="305">
        <f t="shared" si="17"/>
        <v>0</v>
      </c>
      <c r="M29" s="307"/>
      <c r="N29" s="308"/>
      <c r="O29" s="308"/>
      <c r="P29" s="172"/>
      <c r="Q29" s="172"/>
      <c r="R29" s="172"/>
      <c r="U29" s="3"/>
      <c r="V29" s="3"/>
    </row>
    <row r="30" spans="1:22" s="139" customFormat="1" ht="44.25" customHeight="1" x14ac:dyDescent="0.3">
      <c r="A30" s="304">
        <v>1</v>
      </c>
      <c r="B30" s="299" t="s">
        <v>178</v>
      </c>
      <c r="C30" s="303" t="s">
        <v>171</v>
      </c>
      <c r="D30" s="303" t="s">
        <v>172</v>
      </c>
      <c r="E30" s="304">
        <v>2</v>
      </c>
      <c r="F30" s="304">
        <v>3</v>
      </c>
      <c r="G30" s="304">
        <v>3</v>
      </c>
      <c r="H30" s="304">
        <v>1</v>
      </c>
      <c r="I30" s="376">
        <v>2</v>
      </c>
      <c r="J30" s="305">
        <f t="shared" si="15"/>
        <v>19200</v>
      </c>
      <c r="K30" s="305">
        <f t="shared" si="16"/>
        <v>41400</v>
      </c>
      <c r="L30" s="305">
        <f t="shared" si="17"/>
        <v>60600</v>
      </c>
      <c r="M30" s="299"/>
      <c r="N30" s="300"/>
      <c r="O30" s="300"/>
      <c r="P30" s="170"/>
      <c r="Q30" s="170">
        <v>2</v>
      </c>
      <c r="R30" s="170">
        <v>2</v>
      </c>
      <c r="U30" s="3"/>
      <c r="V30" s="3"/>
    </row>
    <row r="31" spans="1:22" s="139" customFormat="1" ht="44.25" customHeight="1" x14ac:dyDescent="0.3">
      <c r="A31" s="279" t="s">
        <v>101</v>
      </c>
      <c r="B31" s="698" t="s">
        <v>179</v>
      </c>
      <c r="C31" s="699"/>
      <c r="D31" s="301"/>
      <c r="E31" s="309"/>
      <c r="F31" s="309"/>
      <c r="G31" s="309"/>
      <c r="H31" s="309"/>
      <c r="I31" s="378"/>
      <c r="J31" s="305">
        <f t="shared" si="15"/>
        <v>0</v>
      </c>
      <c r="K31" s="305">
        <f t="shared" si="16"/>
        <v>0</v>
      </c>
      <c r="L31" s="305">
        <f t="shared" si="17"/>
        <v>0</v>
      </c>
      <c r="M31" s="310"/>
      <c r="N31" s="300"/>
      <c r="O31" s="300"/>
      <c r="P31" s="170"/>
      <c r="Q31" s="170"/>
      <c r="R31" s="170"/>
      <c r="U31" s="3"/>
      <c r="V31" s="3"/>
    </row>
    <row r="32" spans="1:22" s="139" customFormat="1" ht="44.25" customHeight="1" x14ac:dyDescent="0.3">
      <c r="A32" s="278"/>
      <c r="B32" s="311" t="s">
        <v>4</v>
      </c>
      <c r="C32" s="311"/>
      <c r="D32" s="304"/>
      <c r="E32" s="309"/>
      <c r="F32" s="309"/>
      <c r="G32" s="309"/>
      <c r="H32" s="309"/>
      <c r="I32" s="378"/>
      <c r="J32" s="305">
        <f t="shared" si="15"/>
        <v>0</v>
      </c>
      <c r="K32" s="305">
        <f t="shared" si="16"/>
        <v>0</v>
      </c>
      <c r="L32" s="305">
        <f t="shared" si="17"/>
        <v>0</v>
      </c>
      <c r="M32" s="312"/>
      <c r="N32" s="299"/>
      <c r="O32" s="299"/>
      <c r="P32" s="313"/>
      <c r="Q32" s="313"/>
      <c r="R32" s="313"/>
      <c r="U32" s="3"/>
      <c r="V32" s="3"/>
    </row>
    <row r="33" spans="1:22" s="139" customFormat="1" ht="44.25" customHeight="1" x14ac:dyDescent="0.3">
      <c r="A33" s="304">
        <v>1</v>
      </c>
      <c r="B33" s="299" t="s">
        <v>180</v>
      </c>
      <c r="C33" s="304" t="s">
        <v>181</v>
      </c>
      <c r="D33" s="304" t="s">
        <v>182</v>
      </c>
      <c r="E33" s="304">
        <v>2</v>
      </c>
      <c r="F33" s="304">
        <v>3</v>
      </c>
      <c r="G33" s="304">
        <v>3</v>
      </c>
      <c r="H33" s="304">
        <v>1</v>
      </c>
      <c r="I33" s="379">
        <v>2</v>
      </c>
      <c r="J33" s="305">
        <f t="shared" si="15"/>
        <v>19200</v>
      </c>
      <c r="K33" s="305">
        <f t="shared" si="16"/>
        <v>41400</v>
      </c>
      <c r="L33" s="305">
        <f t="shared" si="17"/>
        <v>60600</v>
      </c>
      <c r="M33" s="314"/>
      <c r="N33" s="299"/>
      <c r="O33" s="299"/>
      <c r="P33" s="313"/>
      <c r="Q33" s="313">
        <v>2</v>
      </c>
      <c r="R33" s="313">
        <v>2</v>
      </c>
      <c r="U33" s="3"/>
      <c r="V33" s="3"/>
    </row>
    <row r="34" spans="1:22" s="134" customFormat="1" ht="26.4" x14ac:dyDescent="0.25">
      <c r="A34" s="283">
        <v>14</v>
      </c>
      <c r="B34" s="283" t="s">
        <v>183</v>
      </c>
      <c r="C34" s="288"/>
      <c r="D34" s="288"/>
      <c r="E34" s="283"/>
      <c r="F34" s="283"/>
      <c r="G34" s="283"/>
      <c r="H34" s="283"/>
      <c r="I34" s="283"/>
      <c r="J34" s="283"/>
      <c r="K34" s="283"/>
      <c r="L34" s="283"/>
      <c r="M34" s="315"/>
      <c r="N34" s="278"/>
      <c r="O34" s="278"/>
      <c r="P34" s="316"/>
      <c r="Q34" s="316"/>
      <c r="R34" s="316"/>
      <c r="S34" s="133"/>
      <c r="T34" s="133"/>
      <c r="U34" s="3"/>
      <c r="V34" s="3"/>
    </row>
    <row r="35" spans="1:22" s="139" customFormat="1" ht="26.4" x14ac:dyDescent="0.3">
      <c r="A35" s="283" t="s">
        <v>168</v>
      </c>
      <c r="B35" s="296" t="s">
        <v>169</v>
      </c>
      <c r="C35" s="275"/>
      <c r="D35" s="275"/>
      <c r="E35" s="278"/>
      <c r="F35" s="278"/>
      <c r="G35" s="278"/>
      <c r="H35" s="278"/>
      <c r="I35" s="278"/>
      <c r="J35" s="305">
        <f t="shared" ref="J35:J45" si="18">E35*I35*4800</f>
        <v>0</v>
      </c>
      <c r="K35" s="305">
        <f t="shared" ref="K35:K45" si="19">F35*H35*4800+F35*9000</f>
        <v>0</v>
      </c>
      <c r="L35" s="305">
        <f t="shared" ref="L35:L56" si="20">J35+K35</f>
        <v>0</v>
      </c>
      <c r="M35" s="314"/>
      <c r="N35" s="299"/>
      <c r="O35" s="299"/>
      <c r="P35" s="317"/>
      <c r="Q35" s="317"/>
      <c r="R35" s="317"/>
      <c r="S35" s="146"/>
      <c r="T35" s="146"/>
      <c r="U35" s="3"/>
      <c r="V35" s="3"/>
    </row>
    <row r="36" spans="1:22" s="139" customFormat="1" ht="15.6" x14ac:dyDescent="0.3">
      <c r="A36" s="283"/>
      <c r="B36" s="296" t="s">
        <v>4</v>
      </c>
      <c r="C36" s="275"/>
      <c r="D36" s="275"/>
      <c r="E36" s="278"/>
      <c r="F36" s="278"/>
      <c r="G36" s="278"/>
      <c r="H36" s="278"/>
      <c r="I36" s="380"/>
      <c r="J36" s="305">
        <f t="shared" si="18"/>
        <v>0</v>
      </c>
      <c r="K36" s="305">
        <f t="shared" si="19"/>
        <v>0</v>
      </c>
      <c r="L36" s="305">
        <f t="shared" si="20"/>
        <v>0</v>
      </c>
      <c r="M36" s="314"/>
      <c r="N36" s="299"/>
      <c r="O36" s="299"/>
      <c r="P36" s="317"/>
      <c r="Q36" s="317"/>
      <c r="R36" s="317"/>
      <c r="S36" s="146"/>
      <c r="T36" s="146"/>
      <c r="U36" s="3"/>
      <c r="V36" s="3"/>
    </row>
    <row r="37" spans="1:22" s="139" customFormat="1" ht="26.4" x14ac:dyDescent="0.3">
      <c r="A37" s="301">
        <v>1</v>
      </c>
      <c r="B37" s="306" t="s">
        <v>184</v>
      </c>
      <c r="C37" s="301" t="s">
        <v>185</v>
      </c>
      <c r="D37" s="303" t="s">
        <v>186</v>
      </c>
      <c r="E37" s="303">
        <v>2</v>
      </c>
      <c r="F37" s="303">
        <v>2</v>
      </c>
      <c r="G37" s="303">
        <v>1</v>
      </c>
      <c r="H37" s="303"/>
      <c r="I37" s="376">
        <v>1</v>
      </c>
      <c r="J37" s="305">
        <f t="shared" si="18"/>
        <v>9600</v>
      </c>
      <c r="K37" s="305">
        <f t="shared" si="19"/>
        <v>18000</v>
      </c>
      <c r="L37" s="305">
        <f t="shared" si="20"/>
        <v>27600</v>
      </c>
      <c r="M37" s="318"/>
      <c r="N37" s="299"/>
      <c r="O37" s="299"/>
      <c r="P37" s="317"/>
      <c r="Q37" s="317"/>
      <c r="R37" s="317">
        <v>1</v>
      </c>
      <c r="S37" s="146"/>
      <c r="T37" s="146"/>
      <c r="U37" s="3"/>
      <c r="V37" s="3"/>
    </row>
    <row r="38" spans="1:22" s="145" customFormat="1" ht="15.6" x14ac:dyDescent="0.3">
      <c r="A38" s="278"/>
      <c r="B38" s="307" t="s">
        <v>173</v>
      </c>
      <c r="C38" s="278"/>
      <c r="D38" s="278"/>
      <c r="E38" s="278"/>
      <c r="F38" s="278"/>
      <c r="G38" s="278"/>
      <c r="H38" s="278"/>
      <c r="I38" s="376"/>
      <c r="J38" s="305">
        <f t="shared" si="18"/>
        <v>0</v>
      </c>
      <c r="K38" s="305">
        <f t="shared" si="19"/>
        <v>0</v>
      </c>
      <c r="L38" s="305">
        <f t="shared" si="20"/>
        <v>0</v>
      </c>
      <c r="M38" s="281"/>
      <c r="N38" s="307"/>
      <c r="O38" s="307"/>
      <c r="P38" s="319"/>
      <c r="Q38" s="319"/>
      <c r="R38" s="319"/>
      <c r="S38" s="147"/>
      <c r="T38" s="147"/>
      <c r="U38" s="3"/>
      <c r="V38" s="3"/>
    </row>
    <row r="39" spans="1:22" s="139" customFormat="1" ht="26.4" x14ac:dyDescent="0.3">
      <c r="A39" s="304">
        <v>1</v>
      </c>
      <c r="B39" s="299" t="s">
        <v>184</v>
      </c>
      <c r="C39" s="304" t="s">
        <v>185</v>
      </c>
      <c r="D39" s="304" t="s">
        <v>187</v>
      </c>
      <c r="E39" s="304">
        <v>2</v>
      </c>
      <c r="F39" s="304">
        <v>2</v>
      </c>
      <c r="G39" s="304">
        <v>1</v>
      </c>
      <c r="H39" s="304"/>
      <c r="I39" s="376">
        <v>1</v>
      </c>
      <c r="J39" s="305">
        <f t="shared" si="18"/>
        <v>9600</v>
      </c>
      <c r="K39" s="305">
        <f t="shared" si="19"/>
        <v>18000</v>
      </c>
      <c r="L39" s="305">
        <f t="shared" si="20"/>
        <v>27600</v>
      </c>
      <c r="M39" s="314"/>
      <c r="N39" s="299"/>
      <c r="O39" s="299"/>
      <c r="P39" s="317"/>
      <c r="Q39" s="317"/>
      <c r="R39" s="317">
        <v>1</v>
      </c>
      <c r="S39" s="146"/>
      <c r="T39" s="146"/>
      <c r="U39" s="3"/>
      <c r="V39" s="3"/>
    </row>
    <row r="40" spans="1:22" s="145" customFormat="1" ht="15.6" x14ac:dyDescent="0.3">
      <c r="A40" s="278"/>
      <c r="B40" s="307" t="s">
        <v>175</v>
      </c>
      <c r="C40" s="278"/>
      <c r="D40" s="278"/>
      <c r="E40" s="278"/>
      <c r="F40" s="278"/>
      <c r="G40" s="278"/>
      <c r="H40" s="278"/>
      <c r="I40" s="376"/>
      <c r="J40" s="305">
        <f t="shared" si="18"/>
        <v>0</v>
      </c>
      <c r="K40" s="305">
        <f t="shared" si="19"/>
        <v>0</v>
      </c>
      <c r="L40" s="305">
        <f t="shared" si="20"/>
        <v>0</v>
      </c>
      <c r="M40" s="281"/>
      <c r="N40" s="307"/>
      <c r="O40" s="307"/>
      <c r="P40" s="319"/>
      <c r="Q40" s="319"/>
      <c r="R40" s="319"/>
      <c r="S40" s="147"/>
      <c r="T40" s="147"/>
      <c r="U40" s="3"/>
      <c r="V40" s="3"/>
    </row>
    <row r="41" spans="1:22" s="139" customFormat="1" ht="26.4" x14ac:dyDescent="0.3">
      <c r="A41" s="304">
        <v>1</v>
      </c>
      <c r="B41" s="299" t="s">
        <v>188</v>
      </c>
      <c r="C41" s="304" t="s">
        <v>185</v>
      </c>
      <c r="D41" s="304" t="s">
        <v>189</v>
      </c>
      <c r="E41" s="304">
        <v>2</v>
      </c>
      <c r="F41" s="304">
        <v>2</v>
      </c>
      <c r="G41" s="304">
        <v>1</v>
      </c>
      <c r="H41" s="304"/>
      <c r="I41" s="376">
        <v>1</v>
      </c>
      <c r="J41" s="305">
        <f t="shared" si="18"/>
        <v>9600</v>
      </c>
      <c r="K41" s="305">
        <f t="shared" si="19"/>
        <v>18000</v>
      </c>
      <c r="L41" s="305">
        <f t="shared" si="20"/>
        <v>27600</v>
      </c>
      <c r="M41" s="314"/>
      <c r="N41" s="299"/>
      <c r="O41" s="299"/>
      <c r="P41" s="317"/>
      <c r="Q41" s="317"/>
      <c r="R41" s="317">
        <v>1</v>
      </c>
      <c r="S41" s="146"/>
      <c r="T41" s="146"/>
      <c r="U41" s="3"/>
      <c r="V41" s="3"/>
    </row>
    <row r="42" spans="1:22" s="145" customFormat="1" ht="15.6" x14ac:dyDescent="0.3">
      <c r="A42" s="278"/>
      <c r="B42" s="307" t="s">
        <v>177</v>
      </c>
      <c r="C42" s="278"/>
      <c r="D42" s="304" t="s">
        <v>190</v>
      </c>
      <c r="E42" s="278"/>
      <c r="F42" s="278"/>
      <c r="G42" s="278"/>
      <c r="H42" s="278"/>
      <c r="I42" s="376"/>
      <c r="J42" s="305">
        <f t="shared" si="18"/>
        <v>0</v>
      </c>
      <c r="K42" s="305">
        <f t="shared" si="19"/>
        <v>0</v>
      </c>
      <c r="L42" s="305">
        <f t="shared" si="20"/>
        <v>0</v>
      </c>
      <c r="M42" s="281"/>
      <c r="N42" s="307"/>
      <c r="O42" s="307"/>
      <c r="P42" s="319"/>
      <c r="Q42" s="319"/>
      <c r="R42" s="319"/>
      <c r="S42" s="147"/>
      <c r="T42" s="147"/>
      <c r="U42" s="3"/>
      <c r="V42" s="3"/>
    </row>
    <row r="43" spans="1:22" s="139" customFormat="1" ht="26.4" x14ac:dyDescent="0.3">
      <c r="A43" s="304">
        <v>1</v>
      </c>
      <c r="B43" s="299" t="s">
        <v>188</v>
      </c>
      <c r="C43" s="304" t="s">
        <v>185</v>
      </c>
      <c r="D43" s="304" t="s">
        <v>191</v>
      </c>
      <c r="E43" s="362">
        <v>2</v>
      </c>
      <c r="F43" s="304">
        <v>2</v>
      </c>
      <c r="G43" s="304"/>
      <c r="H43" s="304"/>
      <c r="I43" s="376">
        <v>1</v>
      </c>
      <c r="J43" s="305">
        <f t="shared" si="18"/>
        <v>9600</v>
      </c>
      <c r="K43" s="305">
        <f t="shared" si="19"/>
        <v>18000</v>
      </c>
      <c r="L43" s="305">
        <f t="shared" si="20"/>
        <v>27600</v>
      </c>
      <c r="M43" s="314"/>
      <c r="N43" s="299"/>
      <c r="O43" s="299"/>
      <c r="P43" s="317"/>
      <c r="Q43" s="317"/>
      <c r="R43" s="317">
        <v>1</v>
      </c>
      <c r="S43" s="146"/>
      <c r="T43" s="146"/>
      <c r="U43" s="3"/>
      <c r="V43" s="3"/>
    </row>
    <row r="44" spans="1:22" s="145" customFormat="1" ht="15.6" x14ac:dyDescent="0.3">
      <c r="A44" s="278"/>
      <c r="B44" s="307" t="s">
        <v>192</v>
      </c>
      <c r="C44" s="278"/>
      <c r="D44" s="278"/>
      <c r="E44" s="278"/>
      <c r="F44" s="278"/>
      <c r="G44" s="278"/>
      <c r="H44" s="278"/>
      <c r="I44" s="376"/>
      <c r="J44" s="305">
        <f t="shared" si="18"/>
        <v>0</v>
      </c>
      <c r="K44" s="305">
        <f t="shared" si="19"/>
        <v>0</v>
      </c>
      <c r="L44" s="305">
        <f t="shared" si="20"/>
        <v>0</v>
      </c>
      <c r="M44" s="281"/>
      <c r="N44" s="307"/>
      <c r="O44" s="307"/>
      <c r="P44" s="319"/>
      <c r="Q44" s="319"/>
      <c r="R44" s="319"/>
      <c r="S44" s="147"/>
      <c r="T44" s="147"/>
      <c r="U44" s="3"/>
      <c r="V44" s="3"/>
    </row>
    <row r="45" spans="1:22" s="139" customFormat="1" ht="26.4" x14ac:dyDescent="0.3">
      <c r="A45" s="304">
        <v>1</v>
      </c>
      <c r="B45" s="299" t="s">
        <v>184</v>
      </c>
      <c r="C45" s="304" t="s">
        <v>185</v>
      </c>
      <c r="D45" s="304" t="s">
        <v>193</v>
      </c>
      <c r="E45" s="304">
        <v>2</v>
      </c>
      <c r="F45" s="304">
        <v>2</v>
      </c>
      <c r="G45" s="304">
        <v>1</v>
      </c>
      <c r="H45" s="304"/>
      <c r="I45" s="376">
        <v>1</v>
      </c>
      <c r="J45" s="305">
        <f t="shared" si="18"/>
        <v>9600</v>
      </c>
      <c r="K45" s="305">
        <f t="shared" si="19"/>
        <v>18000</v>
      </c>
      <c r="L45" s="305">
        <f t="shared" si="20"/>
        <v>27600</v>
      </c>
      <c r="M45" s="314"/>
      <c r="N45" s="299"/>
      <c r="O45" s="299"/>
      <c r="P45" s="317"/>
      <c r="Q45" s="317"/>
      <c r="R45" s="317">
        <v>1</v>
      </c>
      <c r="S45" s="146"/>
      <c r="T45" s="146"/>
      <c r="U45" s="3"/>
      <c r="V45" s="3"/>
    </row>
    <row r="46" spans="1:22" s="139" customFormat="1" x14ac:dyDescent="0.3">
      <c r="A46" s="279" t="s">
        <v>101</v>
      </c>
      <c r="B46" s="698" t="s">
        <v>179</v>
      </c>
      <c r="C46" s="699"/>
      <c r="D46" s="301"/>
      <c r="E46" s="309"/>
      <c r="F46" s="309"/>
      <c r="G46" s="309"/>
      <c r="H46" s="309"/>
      <c r="I46" s="378"/>
      <c r="J46" s="298"/>
      <c r="K46" s="320"/>
      <c r="L46" s="321">
        <f t="shared" si="20"/>
        <v>0</v>
      </c>
      <c r="M46" s="312"/>
      <c r="N46" s="299"/>
      <c r="O46" s="299"/>
      <c r="P46" s="317"/>
      <c r="Q46" s="317"/>
      <c r="R46" s="317"/>
      <c r="S46" s="146"/>
      <c r="T46" s="146"/>
      <c r="U46" s="148"/>
      <c r="V46" s="148"/>
    </row>
    <row r="47" spans="1:22" s="139" customFormat="1" x14ac:dyDescent="0.3">
      <c r="A47" s="278"/>
      <c r="B47" s="311" t="s">
        <v>4</v>
      </c>
      <c r="C47" s="311"/>
      <c r="D47" s="304"/>
      <c r="E47" s="309"/>
      <c r="F47" s="309"/>
      <c r="G47" s="309"/>
      <c r="H47" s="309"/>
      <c r="I47" s="378"/>
      <c r="J47" s="320"/>
      <c r="K47" s="320"/>
      <c r="L47" s="321">
        <f t="shared" si="20"/>
        <v>0</v>
      </c>
      <c r="M47" s="312"/>
      <c r="N47" s="299"/>
      <c r="O47" s="299"/>
      <c r="P47" s="317"/>
      <c r="Q47" s="317"/>
      <c r="R47" s="317"/>
      <c r="S47" s="146"/>
      <c r="T47" s="146"/>
      <c r="U47" s="148"/>
      <c r="V47" s="148"/>
    </row>
    <row r="48" spans="1:22" s="139" customFormat="1" ht="49.5" customHeight="1" x14ac:dyDescent="0.3">
      <c r="A48" s="304">
        <v>1</v>
      </c>
      <c r="B48" s="334" t="s">
        <v>194</v>
      </c>
      <c r="C48" s="304" t="s">
        <v>195</v>
      </c>
      <c r="D48" s="304" t="s">
        <v>196</v>
      </c>
      <c r="E48" s="299">
        <v>2</v>
      </c>
      <c r="F48" s="299">
        <v>2</v>
      </c>
      <c r="G48" s="304">
        <v>3</v>
      </c>
      <c r="H48" s="304">
        <v>1</v>
      </c>
      <c r="I48" s="379">
        <v>2</v>
      </c>
      <c r="J48" s="305">
        <f t="shared" ref="J48:J55" si="21">E48*I48*4800</f>
        <v>19200</v>
      </c>
      <c r="K48" s="322">
        <f t="shared" ref="K48:K56" si="22">F48*H48*4800+F48*9000</f>
        <v>27600</v>
      </c>
      <c r="L48" s="321">
        <f t="shared" si="20"/>
        <v>46800</v>
      </c>
      <c r="M48" s="323"/>
      <c r="N48" s="324"/>
      <c r="O48" s="324"/>
      <c r="P48" s="317"/>
      <c r="Q48" s="317">
        <v>1</v>
      </c>
      <c r="R48" s="317">
        <v>2</v>
      </c>
      <c r="S48" s="146"/>
      <c r="T48" s="146"/>
      <c r="U48" s="148"/>
      <c r="V48" s="148"/>
    </row>
    <row r="49" spans="1:22" s="129" customFormat="1" x14ac:dyDescent="0.35">
      <c r="A49" s="278"/>
      <c r="B49" s="307" t="s">
        <v>173</v>
      </c>
      <c r="C49" s="304"/>
      <c r="D49" s="304"/>
      <c r="E49" s="299"/>
      <c r="F49" s="299"/>
      <c r="G49" s="299"/>
      <c r="H49" s="299"/>
      <c r="I49" s="299"/>
      <c r="J49" s="305">
        <f t="shared" si="21"/>
        <v>0</v>
      </c>
      <c r="K49" s="322">
        <f t="shared" si="22"/>
        <v>0</v>
      </c>
      <c r="L49" s="321">
        <f t="shared" si="20"/>
        <v>0</v>
      </c>
      <c r="M49" s="325"/>
      <c r="N49" s="326"/>
      <c r="O49" s="326"/>
      <c r="P49" s="327"/>
      <c r="Q49" s="317"/>
      <c r="R49" s="317"/>
      <c r="S49" s="2"/>
      <c r="T49" s="2"/>
      <c r="U49" s="148"/>
      <c r="V49" s="148"/>
    </row>
    <row r="50" spans="1:22" s="129" customFormat="1" ht="26.4" x14ac:dyDescent="0.35">
      <c r="A50" s="304">
        <v>1</v>
      </c>
      <c r="B50" s="299" t="s">
        <v>197</v>
      </c>
      <c r="C50" s="304" t="s">
        <v>195</v>
      </c>
      <c r="D50" s="304" t="s">
        <v>196</v>
      </c>
      <c r="E50" s="299">
        <v>2</v>
      </c>
      <c r="F50" s="299">
        <v>2</v>
      </c>
      <c r="G50" s="299">
        <v>3</v>
      </c>
      <c r="H50" s="304">
        <v>1</v>
      </c>
      <c r="I50" s="379">
        <v>2</v>
      </c>
      <c r="J50" s="305">
        <f t="shared" si="21"/>
        <v>19200</v>
      </c>
      <c r="K50" s="322">
        <f t="shared" si="22"/>
        <v>27600</v>
      </c>
      <c r="L50" s="321">
        <f t="shared" si="20"/>
        <v>46800</v>
      </c>
      <c r="M50" s="323"/>
      <c r="N50" s="324"/>
      <c r="O50" s="324"/>
      <c r="P50" s="327"/>
      <c r="Q50" s="317">
        <v>1</v>
      </c>
      <c r="R50" s="317">
        <v>2</v>
      </c>
      <c r="S50" s="2"/>
      <c r="T50" s="2"/>
      <c r="U50" s="148"/>
      <c r="V50" s="148"/>
    </row>
    <row r="51" spans="1:22" s="129" customFormat="1" x14ac:dyDescent="0.35">
      <c r="A51" s="278"/>
      <c r="B51" s="307" t="s">
        <v>175</v>
      </c>
      <c r="C51" s="304"/>
      <c r="D51" s="304"/>
      <c r="E51" s="299"/>
      <c r="F51" s="299"/>
      <c r="G51" s="299"/>
      <c r="H51" s="299"/>
      <c r="I51" s="299"/>
      <c r="J51" s="305">
        <f t="shared" si="21"/>
        <v>0</v>
      </c>
      <c r="K51" s="322">
        <f t="shared" si="22"/>
        <v>0</v>
      </c>
      <c r="L51" s="321">
        <f t="shared" si="20"/>
        <v>0</v>
      </c>
      <c r="M51" s="325"/>
      <c r="N51" s="326"/>
      <c r="O51" s="326"/>
      <c r="P51" s="327"/>
      <c r="Q51" s="317"/>
      <c r="R51" s="317"/>
      <c r="S51" s="2"/>
      <c r="T51" s="2"/>
      <c r="U51" s="148"/>
      <c r="V51" s="148"/>
    </row>
    <row r="52" spans="1:22" s="129" customFormat="1" ht="26.4" x14ac:dyDescent="0.35">
      <c r="A52" s="304">
        <v>1</v>
      </c>
      <c r="B52" s="299" t="s">
        <v>198</v>
      </c>
      <c r="C52" s="304" t="s">
        <v>195</v>
      </c>
      <c r="D52" s="304" t="s">
        <v>196</v>
      </c>
      <c r="E52" s="299">
        <v>2</v>
      </c>
      <c r="F52" s="299">
        <v>2</v>
      </c>
      <c r="G52" s="299">
        <v>3</v>
      </c>
      <c r="H52" s="304">
        <v>1</v>
      </c>
      <c r="I52" s="379">
        <v>2</v>
      </c>
      <c r="J52" s="305">
        <f t="shared" si="21"/>
        <v>19200</v>
      </c>
      <c r="K52" s="322">
        <f t="shared" si="22"/>
        <v>27600</v>
      </c>
      <c r="L52" s="321">
        <f t="shared" si="20"/>
        <v>46800</v>
      </c>
      <c r="M52" s="323"/>
      <c r="N52" s="324"/>
      <c r="O52" s="324"/>
      <c r="P52" s="327"/>
      <c r="Q52" s="317">
        <v>1</v>
      </c>
      <c r="R52" s="317">
        <v>2</v>
      </c>
      <c r="S52" s="2"/>
      <c r="T52" s="2"/>
      <c r="U52" s="148"/>
      <c r="V52" s="148"/>
    </row>
    <row r="53" spans="1:22" s="129" customFormat="1" x14ac:dyDescent="0.35">
      <c r="A53" s="278"/>
      <c r="B53" s="307" t="s">
        <v>177</v>
      </c>
      <c r="C53" s="304"/>
      <c r="D53" s="304"/>
      <c r="E53" s="299"/>
      <c r="F53" s="299"/>
      <c r="G53" s="299"/>
      <c r="H53" s="299"/>
      <c r="I53" s="299"/>
      <c r="J53" s="305">
        <f t="shared" si="21"/>
        <v>0</v>
      </c>
      <c r="K53" s="322">
        <f t="shared" si="22"/>
        <v>0</v>
      </c>
      <c r="L53" s="321">
        <f t="shared" si="20"/>
        <v>0</v>
      </c>
      <c r="M53" s="325"/>
      <c r="N53" s="326"/>
      <c r="O53" s="326"/>
      <c r="P53" s="327"/>
      <c r="Q53" s="317"/>
      <c r="R53" s="317"/>
      <c r="S53" s="2"/>
      <c r="T53" s="2"/>
      <c r="U53" s="148"/>
      <c r="V53" s="148"/>
    </row>
    <row r="54" spans="1:22" s="129" customFormat="1" ht="26.4" x14ac:dyDescent="0.35">
      <c r="A54" s="304">
        <v>1</v>
      </c>
      <c r="B54" s="299" t="s">
        <v>199</v>
      </c>
      <c r="C54" s="304" t="s">
        <v>200</v>
      </c>
      <c r="D54" s="304" t="s">
        <v>196</v>
      </c>
      <c r="E54" s="299">
        <v>2</v>
      </c>
      <c r="F54" s="299">
        <v>2</v>
      </c>
      <c r="G54" s="299">
        <v>3</v>
      </c>
      <c r="H54" s="304">
        <v>1</v>
      </c>
      <c r="I54" s="379">
        <v>2</v>
      </c>
      <c r="J54" s="305">
        <f t="shared" si="21"/>
        <v>19200</v>
      </c>
      <c r="K54" s="322">
        <f t="shared" si="22"/>
        <v>27600</v>
      </c>
      <c r="L54" s="321">
        <f t="shared" si="20"/>
        <v>46800</v>
      </c>
      <c r="M54" s="323"/>
      <c r="N54" s="324"/>
      <c r="O54" s="324"/>
      <c r="P54" s="327"/>
      <c r="Q54" s="317">
        <v>1</v>
      </c>
      <c r="R54" s="317">
        <v>2</v>
      </c>
      <c r="S54" s="2"/>
      <c r="T54" s="2"/>
      <c r="U54" s="148"/>
      <c r="V54" s="148"/>
    </row>
    <row r="55" spans="1:22" s="129" customFormat="1" x14ac:dyDescent="0.35">
      <c r="A55" s="278"/>
      <c r="B55" s="307" t="s">
        <v>192</v>
      </c>
      <c r="C55" s="304"/>
      <c r="D55" s="304"/>
      <c r="E55" s="299"/>
      <c r="F55" s="299"/>
      <c r="G55" s="299"/>
      <c r="H55" s="299"/>
      <c r="I55" s="299"/>
      <c r="J55" s="305">
        <f t="shared" si="21"/>
        <v>0</v>
      </c>
      <c r="K55" s="322">
        <f t="shared" si="22"/>
        <v>0</v>
      </c>
      <c r="L55" s="321">
        <f t="shared" si="20"/>
        <v>0</v>
      </c>
      <c r="M55" s="325"/>
      <c r="N55" s="326"/>
      <c r="O55" s="326"/>
      <c r="P55" s="327"/>
      <c r="Q55" s="317"/>
      <c r="R55" s="317"/>
      <c r="S55" s="2"/>
      <c r="T55" s="2"/>
      <c r="U55" s="148"/>
      <c r="V55" s="148"/>
    </row>
    <row r="56" spans="1:22" s="129" customFormat="1" ht="26.4" x14ac:dyDescent="0.35">
      <c r="A56" s="304">
        <v>1</v>
      </c>
      <c r="B56" s="299" t="s">
        <v>201</v>
      </c>
      <c r="C56" s="304" t="s">
        <v>195</v>
      </c>
      <c r="D56" s="304" t="s">
        <v>196</v>
      </c>
      <c r="E56" s="299">
        <v>2</v>
      </c>
      <c r="F56" s="299">
        <v>2</v>
      </c>
      <c r="G56" s="299">
        <v>3</v>
      </c>
      <c r="H56" s="304">
        <v>1</v>
      </c>
      <c r="I56" s="379">
        <v>2</v>
      </c>
      <c r="J56" s="305">
        <f>E56*I56*4800</f>
        <v>19200</v>
      </c>
      <c r="K56" s="322">
        <f t="shared" si="22"/>
        <v>27600</v>
      </c>
      <c r="L56" s="321">
        <f t="shared" si="20"/>
        <v>46800</v>
      </c>
      <c r="M56" s="323"/>
      <c r="N56" s="324"/>
      <c r="O56" s="324"/>
      <c r="P56" s="327"/>
      <c r="Q56" s="317">
        <v>1</v>
      </c>
      <c r="R56" s="317">
        <v>2</v>
      </c>
      <c r="S56" s="2"/>
      <c r="T56" s="2"/>
      <c r="U56" s="148"/>
      <c r="V56" s="148"/>
    </row>
    <row r="57" spans="1:22" s="149" customFormat="1" ht="26.4" x14ac:dyDescent="0.3">
      <c r="A57" s="307">
        <v>15</v>
      </c>
      <c r="B57" s="307" t="s">
        <v>202</v>
      </c>
      <c r="C57" s="308"/>
      <c r="D57" s="308"/>
      <c r="E57" s="308"/>
      <c r="F57" s="308"/>
      <c r="G57" s="308"/>
      <c r="H57" s="308"/>
      <c r="I57" s="308"/>
      <c r="J57" s="308"/>
      <c r="K57" s="308"/>
      <c r="L57" s="308"/>
      <c r="M57" s="308"/>
      <c r="N57" s="307"/>
      <c r="O57" s="307"/>
      <c r="P57" s="307"/>
      <c r="Q57" s="307"/>
      <c r="R57" s="307"/>
      <c r="S57" s="144"/>
      <c r="T57" s="144"/>
      <c r="U57" s="148"/>
      <c r="V57" s="148"/>
    </row>
    <row r="58" spans="1:22" s="151" customFormat="1" ht="30" customHeight="1" x14ac:dyDescent="0.25">
      <c r="A58" s="283" t="s">
        <v>168</v>
      </c>
      <c r="B58" s="700" t="s">
        <v>169</v>
      </c>
      <c r="C58" s="701"/>
      <c r="D58" s="282"/>
      <c r="E58" s="282"/>
      <c r="F58" s="282"/>
      <c r="G58" s="282"/>
      <c r="H58" s="282"/>
      <c r="I58" s="282"/>
      <c r="J58" s="282"/>
      <c r="K58" s="282"/>
      <c r="L58" s="282"/>
      <c r="M58" s="282"/>
      <c r="N58" s="307"/>
      <c r="O58" s="307"/>
      <c r="P58" s="330"/>
      <c r="Q58" s="330"/>
      <c r="R58" s="330"/>
      <c r="U58" s="148"/>
      <c r="V58" s="148"/>
    </row>
    <row r="59" spans="1:22" s="151" customFormat="1" ht="30" customHeight="1" x14ac:dyDescent="0.25">
      <c r="A59" s="283"/>
      <c r="B59" s="329" t="s">
        <v>4</v>
      </c>
      <c r="C59" s="328"/>
      <c r="D59" s="282"/>
      <c r="E59" s="282"/>
      <c r="F59" s="282"/>
      <c r="G59" s="282"/>
      <c r="H59" s="282"/>
      <c r="I59" s="282"/>
      <c r="J59" s="282"/>
      <c r="K59" s="282"/>
      <c r="L59" s="282"/>
      <c r="M59" s="282"/>
      <c r="N59" s="307"/>
      <c r="O59" s="307"/>
      <c r="P59" s="330"/>
      <c r="Q59" s="330"/>
      <c r="R59" s="330"/>
      <c r="U59" s="148"/>
      <c r="V59" s="148"/>
    </row>
    <row r="60" spans="1:22" s="151" customFormat="1" ht="79.2" x14ac:dyDescent="0.25">
      <c r="A60" s="304">
        <v>1</v>
      </c>
      <c r="B60" s="299" t="s">
        <v>203</v>
      </c>
      <c r="C60" s="304" t="s">
        <v>204</v>
      </c>
      <c r="D60" s="304" t="s">
        <v>205</v>
      </c>
      <c r="E60" s="304">
        <v>2</v>
      </c>
      <c r="F60" s="304">
        <v>2</v>
      </c>
      <c r="G60" s="304">
        <v>6</v>
      </c>
      <c r="H60" s="304">
        <v>3</v>
      </c>
      <c r="I60" s="304">
        <v>3</v>
      </c>
      <c r="J60" s="305">
        <f>E60*I60*4800</f>
        <v>28800</v>
      </c>
      <c r="K60" s="305">
        <f t="shared" ref="K60" si="23">F60*H60*4800+F60*9000</f>
        <v>46800</v>
      </c>
      <c r="L60" s="305">
        <f t="shared" ref="L60" si="24">J60+K60</f>
        <v>75600</v>
      </c>
      <c r="M60" s="314" t="s">
        <v>206</v>
      </c>
      <c r="N60" s="299"/>
      <c r="O60" s="299"/>
      <c r="P60" s="330"/>
      <c r="Q60" s="330">
        <v>3</v>
      </c>
      <c r="R60" s="330">
        <v>3</v>
      </c>
      <c r="U60" s="148"/>
      <c r="V60" s="148"/>
    </row>
    <row r="61" spans="1:22" s="151" customFormat="1" ht="28.95" customHeight="1" x14ac:dyDescent="0.25">
      <c r="A61" s="279" t="s">
        <v>101</v>
      </c>
      <c r="B61" s="702" t="s">
        <v>179</v>
      </c>
      <c r="C61" s="701"/>
      <c r="D61" s="701"/>
      <c r="E61" s="282"/>
      <c r="F61" s="282"/>
      <c r="G61" s="282"/>
      <c r="H61" s="282"/>
      <c r="I61" s="282"/>
      <c r="J61" s="282"/>
      <c r="K61" s="282"/>
      <c r="L61" s="282"/>
      <c r="M61" s="282"/>
      <c r="N61" s="307"/>
      <c r="O61" s="307"/>
      <c r="P61" s="330"/>
      <c r="Q61" s="330"/>
      <c r="R61" s="330"/>
      <c r="U61" s="148"/>
      <c r="V61" s="148"/>
    </row>
    <row r="62" spans="1:22" s="151" customFormat="1" ht="25.95" customHeight="1" x14ac:dyDescent="0.25">
      <c r="A62" s="278"/>
      <c r="B62" s="311" t="s">
        <v>4</v>
      </c>
      <c r="C62" s="311"/>
      <c r="D62" s="304"/>
      <c r="E62" s="309"/>
      <c r="F62" s="309"/>
      <c r="G62" s="309"/>
      <c r="H62" s="309"/>
      <c r="I62" s="378"/>
      <c r="J62" s="320"/>
      <c r="K62" s="320"/>
      <c r="L62" s="320"/>
      <c r="M62" s="312"/>
      <c r="N62" s="299"/>
      <c r="O62" s="299"/>
      <c r="P62" s="330"/>
      <c r="Q62" s="330"/>
      <c r="R62" s="330"/>
      <c r="U62" s="140"/>
      <c r="V62" s="140"/>
    </row>
    <row r="63" spans="1:22" s="151" customFormat="1" ht="79.2" x14ac:dyDescent="0.25">
      <c r="A63" s="304">
        <v>1</v>
      </c>
      <c r="B63" s="334" t="s">
        <v>207</v>
      </c>
      <c r="C63" s="304" t="s">
        <v>208</v>
      </c>
      <c r="D63" s="304" t="s">
        <v>205</v>
      </c>
      <c r="E63" s="304">
        <v>2</v>
      </c>
      <c r="F63" s="304">
        <v>3</v>
      </c>
      <c r="G63" s="304">
        <v>3</v>
      </c>
      <c r="H63" s="304">
        <v>2</v>
      </c>
      <c r="I63" s="304">
        <v>1</v>
      </c>
      <c r="J63" s="305">
        <f>E63*I63*4800</f>
        <v>9600</v>
      </c>
      <c r="K63" s="305">
        <f t="shared" ref="K63:K66" si="25">F63*H63*4800+F63*9000</f>
        <v>55800</v>
      </c>
      <c r="L63" s="305">
        <f t="shared" ref="L63:L66" si="26">J63+K63</f>
        <v>65400</v>
      </c>
      <c r="M63" s="314" t="s">
        <v>206</v>
      </c>
      <c r="N63" s="299"/>
      <c r="O63" s="299"/>
      <c r="P63" s="330"/>
      <c r="Q63" s="330">
        <v>2</v>
      </c>
      <c r="R63" s="330">
        <v>2</v>
      </c>
      <c r="U63" s="3"/>
      <c r="V63" s="3"/>
    </row>
    <row r="64" spans="1:22" s="151" customFormat="1" ht="79.2" x14ac:dyDescent="0.25">
      <c r="A64" s="304">
        <v>2</v>
      </c>
      <c r="B64" s="299" t="s">
        <v>209</v>
      </c>
      <c r="C64" s="304" t="s">
        <v>210</v>
      </c>
      <c r="D64" s="304" t="s">
        <v>211</v>
      </c>
      <c r="E64" s="304">
        <v>1</v>
      </c>
      <c r="F64" s="304">
        <v>1</v>
      </c>
      <c r="G64" s="304">
        <v>1</v>
      </c>
      <c r="H64" s="304">
        <v>1</v>
      </c>
      <c r="I64" s="304">
        <v>0</v>
      </c>
      <c r="J64" s="305">
        <f t="shared" ref="J64:J65" si="27">E64*I64*4800</f>
        <v>0</v>
      </c>
      <c r="K64" s="305">
        <f t="shared" si="25"/>
        <v>13800</v>
      </c>
      <c r="L64" s="305">
        <f t="shared" si="26"/>
        <v>13800</v>
      </c>
      <c r="M64" s="314" t="s">
        <v>212</v>
      </c>
      <c r="N64" s="299"/>
      <c r="O64" s="299"/>
      <c r="P64" s="330"/>
      <c r="Q64" s="330"/>
      <c r="R64" s="330"/>
      <c r="U64" s="3"/>
      <c r="V64" s="3"/>
    </row>
    <row r="65" spans="1:22" s="151" customFormat="1" ht="79.2" x14ac:dyDescent="0.25">
      <c r="A65" s="304">
        <v>3</v>
      </c>
      <c r="B65" s="334" t="s">
        <v>213</v>
      </c>
      <c r="C65" s="304" t="s">
        <v>208</v>
      </c>
      <c r="D65" s="304" t="s">
        <v>214</v>
      </c>
      <c r="E65" s="304">
        <v>1</v>
      </c>
      <c r="F65" s="304">
        <v>2</v>
      </c>
      <c r="G65" s="304">
        <v>3</v>
      </c>
      <c r="H65" s="304">
        <v>3</v>
      </c>
      <c r="I65" s="304">
        <v>0</v>
      </c>
      <c r="J65" s="305">
        <f t="shared" si="27"/>
        <v>0</v>
      </c>
      <c r="K65" s="305">
        <f t="shared" si="25"/>
        <v>46800</v>
      </c>
      <c r="L65" s="305">
        <f t="shared" si="26"/>
        <v>46800</v>
      </c>
      <c r="M65" s="314" t="s">
        <v>215</v>
      </c>
      <c r="N65" s="299"/>
      <c r="O65" s="299"/>
      <c r="P65" s="330"/>
      <c r="Q65" s="330">
        <v>3</v>
      </c>
      <c r="R65" s="330"/>
      <c r="U65" s="3"/>
      <c r="V65" s="3"/>
    </row>
    <row r="66" spans="1:22" s="151" customFormat="1" ht="79.2" x14ac:dyDescent="0.25">
      <c r="A66" s="304">
        <v>4</v>
      </c>
      <c r="B66" s="334" t="s">
        <v>216</v>
      </c>
      <c r="C66" s="304" t="s">
        <v>217</v>
      </c>
      <c r="D66" s="304" t="s">
        <v>218</v>
      </c>
      <c r="E66" s="304">
        <v>2</v>
      </c>
      <c r="F66" s="304">
        <v>3</v>
      </c>
      <c r="G66" s="304">
        <v>3</v>
      </c>
      <c r="H66" s="304">
        <v>1</v>
      </c>
      <c r="I66" s="304">
        <v>2</v>
      </c>
      <c r="J66" s="305">
        <f>E66*I66*4800</f>
        <v>19200</v>
      </c>
      <c r="K66" s="305">
        <f t="shared" si="25"/>
        <v>41400</v>
      </c>
      <c r="L66" s="305">
        <f t="shared" si="26"/>
        <v>60600</v>
      </c>
      <c r="M66" s="314" t="s">
        <v>219</v>
      </c>
      <c r="N66" s="299"/>
      <c r="O66" s="299"/>
      <c r="P66" s="330"/>
      <c r="Q66" s="330">
        <v>2</v>
      </c>
      <c r="R66" s="330">
        <v>2</v>
      </c>
      <c r="U66" s="3"/>
      <c r="V66" s="3"/>
    </row>
    <row r="67" spans="1:22" s="151" customFormat="1" ht="22.95" customHeight="1" x14ac:dyDescent="0.25">
      <c r="A67" s="304"/>
      <c r="B67" s="311" t="s">
        <v>6</v>
      </c>
      <c r="C67" s="304"/>
      <c r="D67" s="304"/>
      <c r="E67" s="304"/>
      <c r="F67" s="304"/>
      <c r="G67" s="304"/>
      <c r="H67" s="304"/>
      <c r="I67" s="379"/>
      <c r="J67" s="305"/>
      <c r="K67" s="305"/>
      <c r="L67" s="305"/>
      <c r="M67" s="314"/>
      <c r="N67" s="299"/>
      <c r="O67" s="299"/>
      <c r="P67" s="330"/>
      <c r="Q67" s="330"/>
      <c r="R67" s="330"/>
      <c r="U67" s="3"/>
      <c r="V67" s="3"/>
    </row>
    <row r="68" spans="1:22" s="151" customFormat="1" ht="79.2" x14ac:dyDescent="0.25">
      <c r="A68" s="304">
        <v>1</v>
      </c>
      <c r="B68" s="299" t="s">
        <v>220</v>
      </c>
      <c r="C68" s="304" t="s">
        <v>208</v>
      </c>
      <c r="D68" s="304" t="s">
        <v>205</v>
      </c>
      <c r="E68" s="304">
        <v>2</v>
      </c>
      <c r="F68" s="304">
        <v>3</v>
      </c>
      <c r="G68" s="304">
        <v>3</v>
      </c>
      <c r="H68" s="304">
        <v>2</v>
      </c>
      <c r="I68" s="304">
        <v>1</v>
      </c>
      <c r="J68" s="305">
        <f>E68*I68*4800</f>
        <v>9600</v>
      </c>
      <c r="K68" s="305">
        <f t="shared" ref="K68:K95" si="28">F68*H68*4800+F68*9000</f>
        <v>55800</v>
      </c>
      <c r="L68" s="305">
        <f t="shared" ref="L68:L95" si="29">J68+K68</f>
        <v>65400</v>
      </c>
      <c r="M68" s="314" t="s">
        <v>206</v>
      </c>
      <c r="N68" s="299"/>
      <c r="O68" s="299"/>
      <c r="P68" s="330"/>
      <c r="Q68" s="330">
        <v>4</v>
      </c>
      <c r="R68" s="330">
        <v>1</v>
      </c>
      <c r="U68" s="3"/>
      <c r="V68" s="3"/>
    </row>
    <row r="69" spans="1:22" s="151" customFormat="1" ht="79.2" x14ac:dyDescent="0.25">
      <c r="A69" s="304">
        <v>2</v>
      </c>
      <c r="B69" s="299" t="s">
        <v>221</v>
      </c>
      <c r="C69" s="304" t="s">
        <v>208</v>
      </c>
      <c r="D69" s="304" t="s">
        <v>205</v>
      </c>
      <c r="E69" s="304">
        <v>2</v>
      </c>
      <c r="F69" s="304">
        <v>3</v>
      </c>
      <c r="G69" s="304">
        <v>3</v>
      </c>
      <c r="H69" s="304">
        <v>2</v>
      </c>
      <c r="I69" s="304">
        <v>1</v>
      </c>
      <c r="J69" s="305">
        <f t="shared" ref="J69:J95" si="30">E69*I69*4800</f>
        <v>9600</v>
      </c>
      <c r="K69" s="305">
        <f t="shared" si="28"/>
        <v>55800</v>
      </c>
      <c r="L69" s="305">
        <f t="shared" si="29"/>
        <v>65400</v>
      </c>
      <c r="M69" s="314" t="s">
        <v>206</v>
      </c>
      <c r="N69" s="299"/>
      <c r="O69" s="299"/>
      <c r="P69" s="330"/>
      <c r="Q69" s="330">
        <v>4</v>
      </c>
      <c r="R69" s="330">
        <v>1</v>
      </c>
      <c r="U69" s="3"/>
      <c r="V69" s="3"/>
    </row>
    <row r="70" spans="1:22" s="152" customFormat="1" ht="79.2" x14ac:dyDescent="0.25">
      <c r="A70" s="304">
        <v>3</v>
      </c>
      <c r="B70" s="299" t="s">
        <v>222</v>
      </c>
      <c r="C70" s="304" t="s">
        <v>208</v>
      </c>
      <c r="D70" s="304" t="s">
        <v>205</v>
      </c>
      <c r="E70" s="304">
        <v>2</v>
      </c>
      <c r="F70" s="304">
        <v>3</v>
      </c>
      <c r="G70" s="304">
        <v>3</v>
      </c>
      <c r="H70" s="304">
        <v>2</v>
      </c>
      <c r="I70" s="304">
        <v>1</v>
      </c>
      <c r="J70" s="305">
        <f t="shared" si="30"/>
        <v>9600</v>
      </c>
      <c r="K70" s="305">
        <f t="shared" si="28"/>
        <v>55800</v>
      </c>
      <c r="L70" s="305">
        <f t="shared" si="29"/>
        <v>65400</v>
      </c>
      <c r="M70" s="314" t="s">
        <v>215</v>
      </c>
      <c r="N70" s="299"/>
      <c r="O70" s="299"/>
      <c r="P70" s="330"/>
      <c r="Q70" s="330">
        <v>4</v>
      </c>
      <c r="R70" s="330">
        <v>1</v>
      </c>
      <c r="U70" s="3"/>
      <c r="V70" s="3"/>
    </row>
    <row r="71" spans="1:22" s="153" customFormat="1" ht="79.2" x14ac:dyDescent="0.25">
      <c r="A71" s="304">
        <v>4</v>
      </c>
      <c r="B71" s="299" t="s">
        <v>223</v>
      </c>
      <c r="C71" s="304" t="s">
        <v>224</v>
      </c>
      <c r="D71" s="304" t="s">
        <v>225</v>
      </c>
      <c r="E71" s="304">
        <v>1</v>
      </c>
      <c r="F71" s="304">
        <v>2</v>
      </c>
      <c r="G71" s="381" t="s">
        <v>226</v>
      </c>
      <c r="H71" s="381"/>
      <c r="I71" s="381">
        <v>1</v>
      </c>
      <c r="J71" s="305">
        <f t="shared" si="30"/>
        <v>4800</v>
      </c>
      <c r="K71" s="305">
        <f t="shared" si="28"/>
        <v>18000</v>
      </c>
      <c r="L71" s="305">
        <f t="shared" si="29"/>
        <v>22800</v>
      </c>
      <c r="M71" s="314" t="s">
        <v>206</v>
      </c>
      <c r="N71" s="299"/>
      <c r="O71" s="299"/>
      <c r="P71" s="330"/>
      <c r="Q71" s="330"/>
      <c r="R71" s="330"/>
      <c r="U71" s="3"/>
      <c r="V71" s="3"/>
    </row>
    <row r="72" spans="1:22" s="152" customFormat="1" ht="79.2" x14ac:dyDescent="0.25">
      <c r="A72" s="304">
        <v>5</v>
      </c>
      <c r="B72" s="299" t="s">
        <v>227</v>
      </c>
      <c r="C72" s="304" t="s">
        <v>210</v>
      </c>
      <c r="D72" s="304" t="s">
        <v>211</v>
      </c>
      <c r="E72" s="304">
        <v>1</v>
      </c>
      <c r="F72" s="304">
        <v>1</v>
      </c>
      <c r="G72" s="304">
        <v>1</v>
      </c>
      <c r="H72" s="304">
        <v>1</v>
      </c>
      <c r="I72" s="304">
        <v>0</v>
      </c>
      <c r="J72" s="305">
        <f t="shared" si="30"/>
        <v>0</v>
      </c>
      <c r="K72" s="305">
        <f t="shared" si="28"/>
        <v>13800</v>
      </c>
      <c r="L72" s="305">
        <f t="shared" si="29"/>
        <v>13800</v>
      </c>
      <c r="M72" s="314" t="s">
        <v>212</v>
      </c>
      <c r="N72" s="299"/>
      <c r="O72" s="299"/>
      <c r="P72" s="330"/>
      <c r="Q72" s="330"/>
      <c r="R72" s="330"/>
      <c r="U72" s="3"/>
      <c r="V72" s="3"/>
    </row>
    <row r="73" spans="1:22" s="152" customFormat="1" ht="79.2" x14ac:dyDescent="0.25">
      <c r="A73" s="304">
        <v>6</v>
      </c>
      <c r="B73" s="334" t="s">
        <v>228</v>
      </c>
      <c r="C73" s="304" t="s">
        <v>208</v>
      </c>
      <c r="D73" s="304" t="s">
        <v>214</v>
      </c>
      <c r="E73" s="304">
        <v>1</v>
      </c>
      <c r="F73" s="304">
        <v>2</v>
      </c>
      <c r="G73" s="304">
        <v>3</v>
      </c>
      <c r="H73" s="304">
        <v>3</v>
      </c>
      <c r="I73" s="304">
        <v>0</v>
      </c>
      <c r="J73" s="305">
        <f t="shared" si="30"/>
        <v>0</v>
      </c>
      <c r="K73" s="305">
        <f t="shared" si="28"/>
        <v>46800</v>
      </c>
      <c r="L73" s="305">
        <f t="shared" si="29"/>
        <v>46800</v>
      </c>
      <c r="M73" s="314" t="s">
        <v>215</v>
      </c>
      <c r="N73" s="299"/>
      <c r="O73" s="299"/>
      <c r="P73" s="330"/>
      <c r="Q73" s="330">
        <v>3</v>
      </c>
      <c r="R73" s="330"/>
      <c r="U73" s="3"/>
      <c r="V73" s="3"/>
    </row>
    <row r="74" spans="1:22" s="151" customFormat="1" ht="23.4" customHeight="1" x14ac:dyDescent="0.25">
      <c r="A74" s="304"/>
      <c r="B74" s="307" t="s">
        <v>7</v>
      </c>
      <c r="C74" s="304"/>
      <c r="D74" s="304"/>
      <c r="E74" s="304"/>
      <c r="F74" s="304"/>
      <c r="G74" s="304"/>
      <c r="H74" s="304"/>
      <c r="I74" s="379"/>
      <c r="J74" s="305">
        <f t="shared" si="30"/>
        <v>0</v>
      </c>
      <c r="K74" s="305">
        <f t="shared" si="28"/>
        <v>0</v>
      </c>
      <c r="L74" s="305">
        <f t="shared" si="29"/>
        <v>0</v>
      </c>
      <c r="M74" s="314"/>
      <c r="N74" s="299"/>
      <c r="O74" s="299"/>
      <c r="P74" s="330"/>
      <c r="Q74" s="330"/>
      <c r="R74" s="330"/>
      <c r="U74" s="3"/>
      <c r="V74" s="3"/>
    </row>
    <row r="75" spans="1:22" s="151" customFormat="1" ht="79.2" x14ac:dyDescent="0.25">
      <c r="A75" s="304">
        <v>1</v>
      </c>
      <c r="B75" s="299" t="s">
        <v>229</v>
      </c>
      <c r="C75" s="304" t="s">
        <v>208</v>
      </c>
      <c r="D75" s="304" t="s">
        <v>205</v>
      </c>
      <c r="E75" s="304">
        <v>2</v>
      </c>
      <c r="F75" s="304">
        <v>3</v>
      </c>
      <c r="G75" s="304">
        <v>3</v>
      </c>
      <c r="H75" s="304">
        <v>2</v>
      </c>
      <c r="I75" s="304">
        <v>1</v>
      </c>
      <c r="J75" s="305">
        <f t="shared" si="30"/>
        <v>9600</v>
      </c>
      <c r="K75" s="305">
        <f t="shared" si="28"/>
        <v>55800</v>
      </c>
      <c r="L75" s="305">
        <f t="shared" si="29"/>
        <v>65400</v>
      </c>
      <c r="M75" s="314" t="s">
        <v>206</v>
      </c>
      <c r="N75" s="299"/>
      <c r="O75" s="299"/>
      <c r="P75" s="330"/>
      <c r="Q75" s="330">
        <v>4</v>
      </c>
      <c r="R75" s="330">
        <v>1</v>
      </c>
      <c r="U75" s="4"/>
      <c r="V75" s="4"/>
    </row>
    <row r="76" spans="1:22" s="152" customFormat="1" ht="79.2" x14ac:dyDescent="0.25">
      <c r="A76" s="304">
        <v>2</v>
      </c>
      <c r="B76" s="299" t="s">
        <v>230</v>
      </c>
      <c r="C76" s="304" t="s">
        <v>208</v>
      </c>
      <c r="D76" s="304" t="s">
        <v>205</v>
      </c>
      <c r="E76" s="304">
        <v>2</v>
      </c>
      <c r="F76" s="304">
        <v>3</v>
      </c>
      <c r="G76" s="304">
        <v>3</v>
      </c>
      <c r="H76" s="304">
        <v>2</v>
      </c>
      <c r="I76" s="304">
        <v>1</v>
      </c>
      <c r="J76" s="305">
        <f t="shared" si="30"/>
        <v>9600</v>
      </c>
      <c r="K76" s="305">
        <f t="shared" si="28"/>
        <v>55800</v>
      </c>
      <c r="L76" s="305">
        <f t="shared" si="29"/>
        <v>65400</v>
      </c>
      <c r="M76" s="314" t="s">
        <v>212</v>
      </c>
      <c r="N76" s="299"/>
      <c r="O76" s="299"/>
      <c r="P76" s="330"/>
      <c r="Q76" s="330">
        <v>4</v>
      </c>
      <c r="R76" s="330">
        <v>1</v>
      </c>
      <c r="U76" s="4"/>
      <c r="V76" s="4"/>
    </row>
    <row r="77" spans="1:22" s="152" customFormat="1" ht="79.2" x14ac:dyDescent="0.25">
      <c r="A77" s="304">
        <v>3</v>
      </c>
      <c r="B77" s="299" t="s">
        <v>231</v>
      </c>
      <c r="C77" s="304" t="s">
        <v>210</v>
      </c>
      <c r="D77" s="304" t="s">
        <v>211</v>
      </c>
      <c r="E77" s="304">
        <v>1</v>
      </c>
      <c r="F77" s="304">
        <v>1</v>
      </c>
      <c r="G77" s="304">
        <v>1</v>
      </c>
      <c r="H77" s="304">
        <v>1</v>
      </c>
      <c r="I77" s="304">
        <v>0</v>
      </c>
      <c r="J77" s="305">
        <f t="shared" si="30"/>
        <v>0</v>
      </c>
      <c r="K77" s="305">
        <f t="shared" si="28"/>
        <v>13800</v>
      </c>
      <c r="L77" s="305">
        <f t="shared" si="29"/>
        <v>13800</v>
      </c>
      <c r="M77" s="314" t="s">
        <v>215</v>
      </c>
      <c r="N77" s="299"/>
      <c r="O77" s="299"/>
      <c r="P77" s="330"/>
      <c r="Q77" s="330"/>
      <c r="R77" s="330"/>
      <c r="U77" s="4"/>
      <c r="V77" s="4"/>
    </row>
    <row r="78" spans="1:22" s="152" customFormat="1" ht="79.2" x14ac:dyDescent="0.25">
      <c r="A78" s="304">
        <v>4</v>
      </c>
      <c r="B78" s="299" t="s">
        <v>232</v>
      </c>
      <c r="C78" s="304" t="s">
        <v>208</v>
      </c>
      <c r="D78" s="304" t="s">
        <v>214</v>
      </c>
      <c r="E78" s="304">
        <v>1</v>
      </c>
      <c r="F78" s="304">
        <v>2</v>
      </c>
      <c r="G78" s="304">
        <v>3</v>
      </c>
      <c r="H78" s="304">
        <v>3</v>
      </c>
      <c r="I78" s="304">
        <v>0</v>
      </c>
      <c r="J78" s="305">
        <f t="shared" si="30"/>
        <v>0</v>
      </c>
      <c r="K78" s="305">
        <f t="shared" si="28"/>
        <v>46800</v>
      </c>
      <c r="L78" s="305">
        <f t="shared" si="29"/>
        <v>46800</v>
      </c>
      <c r="M78" s="314" t="s">
        <v>219</v>
      </c>
      <c r="N78" s="299"/>
      <c r="O78" s="299"/>
      <c r="P78" s="330"/>
      <c r="Q78" s="330">
        <v>4</v>
      </c>
      <c r="R78" s="330"/>
      <c r="U78" s="4"/>
      <c r="V78" s="4"/>
    </row>
    <row r="79" spans="1:22" s="151" customFormat="1" ht="22.95" customHeight="1" x14ac:dyDescent="0.25">
      <c r="A79" s="304"/>
      <c r="B79" s="307" t="s">
        <v>8</v>
      </c>
      <c r="C79" s="304"/>
      <c r="D79" s="304"/>
      <c r="E79" s="304"/>
      <c r="F79" s="304"/>
      <c r="G79" s="304"/>
      <c r="H79" s="304"/>
      <c r="I79" s="304"/>
      <c r="J79" s="305">
        <f t="shared" si="30"/>
        <v>0</v>
      </c>
      <c r="K79" s="305">
        <f t="shared" si="28"/>
        <v>0</v>
      </c>
      <c r="L79" s="305">
        <f t="shared" si="29"/>
        <v>0</v>
      </c>
      <c r="M79" s="314"/>
      <c r="N79" s="299"/>
      <c r="O79" s="299"/>
      <c r="P79" s="330"/>
      <c r="Q79" s="330"/>
      <c r="R79" s="330"/>
      <c r="U79" s="4"/>
      <c r="V79" s="4"/>
    </row>
    <row r="80" spans="1:22" s="151" customFormat="1" ht="79.2" x14ac:dyDescent="0.25">
      <c r="A80" s="304">
        <v>1</v>
      </c>
      <c r="B80" s="299" t="s">
        <v>233</v>
      </c>
      <c r="C80" s="304" t="s">
        <v>208</v>
      </c>
      <c r="D80" s="304" t="s">
        <v>205</v>
      </c>
      <c r="E80" s="304">
        <v>2</v>
      </c>
      <c r="F80" s="304">
        <v>3</v>
      </c>
      <c r="G80" s="304">
        <v>3</v>
      </c>
      <c r="H80" s="304">
        <v>2</v>
      </c>
      <c r="I80" s="304">
        <v>1</v>
      </c>
      <c r="J80" s="305">
        <f t="shared" si="30"/>
        <v>9600</v>
      </c>
      <c r="K80" s="305">
        <f t="shared" si="28"/>
        <v>55800</v>
      </c>
      <c r="L80" s="305">
        <f t="shared" si="29"/>
        <v>65400</v>
      </c>
      <c r="M80" s="314" t="s">
        <v>206</v>
      </c>
      <c r="N80" s="299"/>
      <c r="O80" s="299"/>
      <c r="P80" s="330"/>
      <c r="Q80" s="330">
        <v>2</v>
      </c>
      <c r="R80" s="330">
        <v>2</v>
      </c>
      <c r="U80" s="4"/>
      <c r="V80" s="4"/>
    </row>
    <row r="81" spans="1:22" s="153" customFormat="1" ht="79.2" x14ac:dyDescent="0.25">
      <c r="A81" s="304">
        <v>2</v>
      </c>
      <c r="B81" s="334" t="s">
        <v>234</v>
      </c>
      <c r="C81" s="304" t="s">
        <v>235</v>
      </c>
      <c r="D81" s="304" t="s">
        <v>225</v>
      </c>
      <c r="E81" s="304">
        <v>1</v>
      </c>
      <c r="F81" s="304">
        <v>2</v>
      </c>
      <c r="G81" s="381" t="s">
        <v>226</v>
      </c>
      <c r="H81" s="381"/>
      <c r="I81" s="381" t="s">
        <v>226</v>
      </c>
      <c r="J81" s="305">
        <f t="shared" si="30"/>
        <v>4800</v>
      </c>
      <c r="K81" s="305">
        <f t="shared" si="28"/>
        <v>18000</v>
      </c>
      <c r="L81" s="305">
        <f t="shared" si="29"/>
        <v>22800</v>
      </c>
      <c r="M81" s="314" t="s">
        <v>206</v>
      </c>
      <c r="N81" s="299"/>
      <c r="O81" s="299"/>
      <c r="P81" s="330"/>
      <c r="Q81" s="330"/>
      <c r="R81" s="330"/>
      <c r="U81" s="4"/>
      <c r="V81" s="4"/>
    </row>
    <row r="82" spans="1:22" s="5" customFormat="1" ht="19.5" customHeight="1" x14ac:dyDescent="0.25">
      <c r="A82" s="278">
        <v>32</v>
      </c>
      <c r="B82" s="311" t="s">
        <v>236</v>
      </c>
      <c r="C82" s="278"/>
      <c r="D82" s="278"/>
      <c r="E82" s="278"/>
      <c r="F82" s="278"/>
      <c r="G82" s="278"/>
      <c r="H82" s="278"/>
      <c r="I82" s="278"/>
      <c r="J82" s="305">
        <f t="shared" si="30"/>
        <v>0</v>
      </c>
      <c r="K82" s="305">
        <f t="shared" si="28"/>
        <v>0</v>
      </c>
      <c r="L82" s="305">
        <f t="shared" si="29"/>
        <v>0</v>
      </c>
      <c r="M82" s="276"/>
      <c r="N82" s="278"/>
      <c r="O82" s="278"/>
      <c r="P82" s="316"/>
      <c r="Q82" s="316"/>
      <c r="R82" s="316"/>
      <c r="S82" s="154"/>
      <c r="T82" s="154"/>
      <c r="U82" s="4"/>
      <c r="V82" s="4"/>
    </row>
    <row r="83" spans="1:22" s="6" customFormat="1" ht="30" customHeight="1" x14ac:dyDescent="0.3">
      <c r="A83" s="278" t="s">
        <v>168</v>
      </c>
      <c r="B83" s="311" t="s">
        <v>169</v>
      </c>
      <c r="C83" s="278"/>
      <c r="D83" s="278"/>
      <c r="E83" s="278"/>
      <c r="F83" s="278"/>
      <c r="G83" s="278"/>
      <c r="H83" s="278"/>
      <c r="I83" s="278"/>
      <c r="J83" s="305">
        <f t="shared" si="30"/>
        <v>0</v>
      </c>
      <c r="K83" s="305">
        <f t="shared" si="28"/>
        <v>0</v>
      </c>
      <c r="L83" s="305">
        <f t="shared" si="29"/>
        <v>0</v>
      </c>
      <c r="M83" s="314"/>
      <c r="N83" s="299"/>
      <c r="O83" s="299"/>
      <c r="P83" s="317"/>
      <c r="Q83" s="317"/>
      <c r="R83" s="317"/>
      <c r="S83" s="155"/>
      <c r="T83" s="155"/>
      <c r="U83" s="3"/>
      <c r="V83" s="3"/>
    </row>
    <row r="84" spans="1:22" s="6" customFormat="1" ht="19.5" customHeight="1" x14ac:dyDescent="0.3">
      <c r="A84" s="278"/>
      <c r="B84" s="311" t="s">
        <v>4</v>
      </c>
      <c r="C84" s="278"/>
      <c r="D84" s="278"/>
      <c r="E84" s="278"/>
      <c r="F84" s="278"/>
      <c r="G84" s="278"/>
      <c r="H84" s="278"/>
      <c r="I84" s="278"/>
      <c r="J84" s="305">
        <f t="shared" si="30"/>
        <v>0</v>
      </c>
      <c r="K84" s="305">
        <f t="shared" si="28"/>
        <v>0</v>
      </c>
      <c r="L84" s="305">
        <f t="shared" si="29"/>
        <v>0</v>
      </c>
      <c r="M84" s="314"/>
      <c r="N84" s="299"/>
      <c r="O84" s="299"/>
      <c r="P84" s="317"/>
      <c r="Q84" s="317"/>
      <c r="R84" s="317"/>
      <c r="S84" s="155"/>
      <c r="T84" s="155"/>
      <c r="U84" s="3"/>
      <c r="V84" s="3"/>
    </row>
    <row r="85" spans="1:22" s="6" customFormat="1" ht="19.5" customHeight="1" x14ac:dyDescent="0.3">
      <c r="A85" s="304">
        <v>1</v>
      </c>
      <c r="B85" s="330" t="s">
        <v>237</v>
      </c>
      <c r="C85" s="703" t="s">
        <v>97</v>
      </c>
      <c r="D85" s="703" t="s">
        <v>236</v>
      </c>
      <c r="E85" s="304">
        <v>2</v>
      </c>
      <c r="F85" s="304">
        <v>2</v>
      </c>
      <c r="G85" s="304">
        <v>3</v>
      </c>
      <c r="H85" s="304">
        <v>2</v>
      </c>
      <c r="I85" s="304">
        <v>1</v>
      </c>
      <c r="J85" s="305">
        <f t="shared" si="30"/>
        <v>9600</v>
      </c>
      <c r="K85" s="305">
        <f t="shared" si="28"/>
        <v>37200</v>
      </c>
      <c r="L85" s="305">
        <f t="shared" si="29"/>
        <v>46800</v>
      </c>
      <c r="M85" s="314"/>
      <c r="N85" s="299"/>
      <c r="O85" s="299"/>
      <c r="P85" s="317"/>
      <c r="Q85" s="317">
        <v>1</v>
      </c>
      <c r="R85" s="317">
        <v>2</v>
      </c>
      <c r="S85" s="155"/>
      <c r="T85" s="155"/>
      <c r="U85" s="3"/>
      <c r="V85" s="3"/>
    </row>
    <row r="86" spans="1:22" s="6" customFormat="1" ht="37.5" customHeight="1" x14ac:dyDescent="0.3">
      <c r="A86" s="304">
        <v>2</v>
      </c>
      <c r="B86" s="334" t="s">
        <v>238</v>
      </c>
      <c r="C86" s="703"/>
      <c r="D86" s="703"/>
      <c r="E86" s="304">
        <v>2</v>
      </c>
      <c r="F86" s="304">
        <v>2</v>
      </c>
      <c r="G86" s="304">
        <v>3</v>
      </c>
      <c r="H86" s="304">
        <v>2</v>
      </c>
      <c r="I86" s="304">
        <v>1</v>
      </c>
      <c r="J86" s="305">
        <f t="shared" si="30"/>
        <v>9600</v>
      </c>
      <c r="K86" s="305">
        <f t="shared" si="28"/>
        <v>37200</v>
      </c>
      <c r="L86" s="305">
        <f t="shared" si="29"/>
        <v>46800</v>
      </c>
      <c r="M86" s="314"/>
      <c r="N86" s="299"/>
      <c r="O86" s="299"/>
      <c r="P86" s="317"/>
      <c r="Q86" s="317">
        <v>1</v>
      </c>
      <c r="R86" s="317">
        <v>2</v>
      </c>
      <c r="S86" s="155"/>
      <c r="T86" s="155"/>
      <c r="U86" s="4"/>
      <c r="V86" s="4"/>
    </row>
    <row r="87" spans="1:22" s="157" customFormat="1" ht="19.5" customHeight="1" x14ac:dyDescent="0.3">
      <c r="A87" s="278"/>
      <c r="B87" s="307" t="s">
        <v>173</v>
      </c>
      <c r="C87" s="278"/>
      <c r="D87" s="278"/>
      <c r="E87" s="278"/>
      <c r="F87" s="278"/>
      <c r="G87" s="278"/>
      <c r="H87" s="278"/>
      <c r="I87" s="304"/>
      <c r="J87" s="305">
        <f t="shared" si="30"/>
        <v>0</v>
      </c>
      <c r="K87" s="305">
        <f t="shared" si="28"/>
        <v>0</v>
      </c>
      <c r="L87" s="305">
        <f t="shared" si="29"/>
        <v>0</v>
      </c>
      <c r="M87" s="281"/>
      <c r="N87" s="307"/>
      <c r="O87" s="307"/>
      <c r="P87" s="319"/>
      <c r="Q87" s="319"/>
      <c r="R87" s="319"/>
      <c r="S87" s="156"/>
      <c r="T87" s="156"/>
      <c r="U87" s="4"/>
      <c r="V87" s="4"/>
    </row>
    <row r="88" spans="1:22" s="6" customFormat="1" ht="32.25" customHeight="1" x14ac:dyDescent="0.3">
      <c r="A88" s="304">
        <v>1</v>
      </c>
      <c r="B88" s="334" t="s">
        <v>239</v>
      </c>
      <c r="C88" s="703" t="s">
        <v>97</v>
      </c>
      <c r="D88" s="703" t="s">
        <v>236</v>
      </c>
      <c r="E88" s="304">
        <v>2</v>
      </c>
      <c r="F88" s="304">
        <v>2</v>
      </c>
      <c r="G88" s="304">
        <v>3</v>
      </c>
      <c r="H88" s="304">
        <v>2</v>
      </c>
      <c r="I88" s="304">
        <v>1</v>
      </c>
      <c r="J88" s="305">
        <f t="shared" si="30"/>
        <v>9600</v>
      </c>
      <c r="K88" s="305">
        <f t="shared" si="28"/>
        <v>37200</v>
      </c>
      <c r="L88" s="305">
        <f t="shared" si="29"/>
        <v>46800</v>
      </c>
      <c r="M88" s="314"/>
      <c r="N88" s="299"/>
      <c r="O88" s="299"/>
      <c r="P88" s="317"/>
      <c r="Q88" s="317">
        <v>1</v>
      </c>
      <c r="R88" s="317">
        <v>2</v>
      </c>
      <c r="S88" s="155"/>
      <c r="T88" s="155"/>
      <c r="U88" s="4"/>
      <c r="V88" s="4"/>
    </row>
    <row r="89" spans="1:22" s="6" customFormat="1" ht="32.25" customHeight="1" x14ac:dyDescent="0.3">
      <c r="A89" s="304">
        <v>2</v>
      </c>
      <c r="B89" s="334" t="s">
        <v>240</v>
      </c>
      <c r="C89" s="703"/>
      <c r="D89" s="703"/>
      <c r="E89" s="304">
        <v>2</v>
      </c>
      <c r="F89" s="304">
        <v>2</v>
      </c>
      <c r="G89" s="304">
        <v>3</v>
      </c>
      <c r="H89" s="304">
        <v>2</v>
      </c>
      <c r="I89" s="304">
        <v>1</v>
      </c>
      <c r="J89" s="305">
        <f t="shared" si="30"/>
        <v>9600</v>
      </c>
      <c r="K89" s="305">
        <f t="shared" si="28"/>
        <v>37200</v>
      </c>
      <c r="L89" s="305">
        <f t="shared" si="29"/>
        <v>46800</v>
      </c>
      <c r="M89" s="314"/>
      <c r="N89" s="299"/>
      <c r="O89" s="299"/>
      <c r="P89" s="317"/>
      <c r="Q89" s="317">
        <v>1</v>
      </c>
      <c r="R89" s="317">
        <v>2</v>
      </c>
      <c r="S89" s="155"/>
      <c r="T89" s="155"/>
      <c r="U89" s="4"/>
      <c r="V89" s="4"/>
    </row>
    <row r="90" spans="1:22" s="6" customFormat="1" ht="44.25" customHeight="1" x14ac:dyDescent="0.3">
      <c r="A90" s="304">
        <v>3</v>
      </c>
      <c r="B90" s="334" t="s">
        <v>241</v>
      </c>
      <c r="C90" s="304" t="s">
        <v>63</v>
      </c>
      <c r="D90" s="304" t="s">
        <v>236</v>
      </c>
      <c r="E90" s="304">
        <v>2</v>
      </c>
      <c r="F90" s="304">
        <v>2</v>
      </c>
      <c r="G90" s="304">
        <v>3</v>
      </c>
      <c r="H90" s="304">
        <v>2</v>
      </c>
      <c r="I90" s="304">
        <v>1</v>
      </c>
      <c r="J90" s="305">
        <f t="shared" si="30"/>
        <v>9600</v>
      </c>
      <c r="K90" s="305">
        <f t="shared" si="28"/>
        <v>37200</v>
      </c>
      <c r="L90" s="305">
        <f t="shared" si="29"/>
        <v>46800</v>
      </c>
      <c r="M90" s="314"/>
      <c r="N90" s="299"/>
      <c r="O90" s="299"/>
      <c r="P90" s="317"/>
      <c r="Q90" s="317">
        <v>1</v>
      </c>
      <c r="R90" s="317">
        <v>2</v>
      </c>
      <c r="S90" s="155"/>
      <c r="T90" s="155"/>
      <c r="U90" s="4"/>
      <c r="V90" s="4"/>
    </row>
    <row r="91" spans="1:22" s="157" customFormat="1" ht="15.6" x14ac:dyDescent="0.3">
      <c r="A91" s="278"/>
      <c r="B91" s="307" t="s">
        <v>175</v>
      </c>
      <c r="C91" s="278"/>
      <c r="D91" s="278"/>
      <c r="E91" s="278"/>
      <c r="F91" s="278"/>
      <c r="G91" s="278"/>
      <c r="H91" s="278"/>
      <c r="I91" s="304"/>
      <c r="J91" s="305">
        <f t="shared" si="30"/>
        <v>0</v>
      </c>
      <c r="K91" s="305">
        <f t="shared" si="28"/>
        <v>0</v>
      </c>
      <c r="L91" s="305">
        <f t="shared" si="29"/>
        <v>0</v>
      </c>
      <c r="M91" s="281"/>
      <c r="N91" s="307"/>
      <c r="O91" s="307"/>
      <c r="P91" s="319"/>
      <c r="Q91" s="319"/>
      <c r="R91" s="319"/>
      <c r="S91" s="156"/>
      <c r="T91" s="156"/>
      <c r="U91" s="4"/>
      <c r="V91" s="4"/>
    </row>
    <row r="92" spans="1:22" s="6" customFormat="1" ht="47.25" customHeight="1" x14ac:dyDescent="0.3">
      <c r="A92" s="304">
        <v>1</v>
      </c>
      <c r="B92" s="334" t="s">
        <v>242</v>
      </c>
      <c r="C92" s="304" t="s">
        <v>97</v>
      </c>
      <c r="D92" s="304" t="s">
        <v>236</v>
      </c>
      <c r="E92" s="304">
        <v>2</v>
      </c>
      <c r="F92" s="304">
        <v>2</v>
      </c>
      <c r="G92" s="304">
        <v>3</v>
      </c>
      <c r="H92" s="304">
        <v>2</v>
      </c>
      <c r="I92" s="304">
        <v>1</v>
      </c>
      <c r="J92" s="305">
        <f t="shared" si="30"/>
        <v>9600</v>
      </c>
      <c r="K92" s="305">
        <f t="shared" si="28"/>
        <v>37200</v>
      </c>
      <c r="L92" s="305">
        <f t="shared" si="29"/>
        <v>46800</v>
      </c>
      <c r="M92" s="314"/>
      <c r="N92" s="299"/>
      <c r="O92" s="299"/>
      <c r="P92" s="317"/>
      <c r="Q92" s="317">
        <v>1</v>
      </c>
      <c r="R92" s="317">
        <v>2</v>
      </c>
      <c r="S92" s="155"/>
      <c r="T92" s="155"/>
      <c r="U92" s="4"/>
      <c r="V92" s="4"/>
    </row>
    <row r="93" spans="1:22" s="6" customFormat="1" ht="48" customHeight="1" x14ac:dyDescent="0.3">
      <c r="A93" s="304">
        <v>2</v>
      </c>
      <c r="B93" s="299" t="s">
        <v>243</v>
      </c>
      <c r="C93" s="304" t="s">
        <v>63</v>
      </c>
      <c r="D93" s="299" t="s">
        <v>236</v>
      </c>
      <c r="E93" s="304">
        <v>2</v>
      </c>
      <c r="F93" s="304">
        <v>2</v>
      </c>
      <c r="G93" s="304">
        <v>3</v>
      </c>
      <c r="H93" s="304">
        <v>2</v>
      </c>
      <c r="I93" s="304">
        <v>1</v>
      </c>
      <c r="J93" s="305">
        <f t="shared" si="30"/>
        <v>9600</v>
      </c>
      <c r="K93" s="305">
        <f t="shared" si="28"/>
        <v>37200</v>
      </c>
      <c r="L93" s="305">
        <f t="shared" si="29"/>
        <v>46800</v>
      </c>
      <c r="M93" s="314"/>
      <c r="N93" s="299"/>
      <c r="O93" s="299"/>
      <c r="P93" s="317"/>
      <c r="Q93" s="317">
        <v>1</v>
      </c>
      <c r="R93" s="317">
        <v>2</v>
      </c>
      <c r="S93" s="155"/>
      <c r="T93" s="155"/>
      <c r="U93" s="4"/>
      <c r="V93" s="4"/>
    </row>
    <row r="94" spans="1:22" s="157" customFormat="1" ht="15.6" x14ac:dyDescent="0.3">
      <c r="A94" s="278"/>
      <c r="B94" s="307" t="s">
        <v>177</v>
      </c>
      <c r="C94" s="278"/>
      <c r="D94" s="278"/>
      <c r="E94" s="278"/>
      <c r="F94" s="278"/>
      <c r="G94" s="278"/>
      <c r="H94" s="278"/>
      <c r="I94" s="304"/>
      <c r="J94" s="305">
        <f t="shared" si="30"/>
        <v>0</v>
      </c>
      <c r="K94" s="305">
        <f t="shared" si="28"/>
        <v>0</v>
      </c>
      <c r="L94" s="305">
        <f t="shared" si="29"/>
        <v>0</v>
      </c>
      <c r="M94" s="281"/>
      <c r="N94" s="307"/>
      <c r="O94" s="307"/>
      <c r="P94" s="319"/>
      <c r="Q94" s="319"/>
      <c r="R94" s="319"/>
      <c r="S94" s="156"/>
      <c r="T94" s="156"/>
      <c r="U94" s="3"/>
      <c r="V94" s="3"/>
    </row>
    <row r="95" spans="1:22" s="6" customFormat="1" ht="46.5" customHeight="1" x14ac:dyDescent="0.3">
      <c r="A95" s="304">
        <v>1</v>
      </c>
      <c r="B95" s="299" t="s">
        <v>244</v>
      </c>
      <c r="C95" s="304" t="s">
        <v>63</v>
      </c>
      <c r="D95" s="299" t="s">
        <v>236</v>
      </c>
      <c r="E95" s="304">
        <v>2</v>
      </c>
      <c r="F95" s="304">
        <v>2</v>
      </c>
      <c r="G95" s="304">
        <v>3</v>
      </c>
      <c r="H95" s="304">
        <v>2</v>
      </c>
      <c r="I95" s="304">
        <v>1</v>
      </c>
      <c r="J95" s="305">
        <f t="shared" si="30"/>
        <v>9600</v>
      </c>
      <c r="K95" s="305">
        <f t="shared" si="28"/>
        <v>37200</v>
      </c>
      <c r="L95" s="305">
        <f t="shared" si="29"/>
        <v>46800</v>
      </c>
      <c r="M95" s="314"/>
      <c r="N95" s="299"/>
      <c r="O95" s="299"/>
      <c r="P95" s="317"/>
      <c r="Q95" s="317">
        <v>1</v>
      </c>
      <c r="R95" s="317">
        <v>2</v>
      </c>
      <c r="S95" s="155"/>
      <c r="T95" s="155"/>
      <c r="U95" s="3"/>
      <c r="V95" s="3"/>
    </row>
    <row r="96" spans="1:22" s="129" customFormat="1" ht="26.4" x14ac:dyDescent="0.35">
      <c r="A96" s="283">
        <v>35</v>
      </c>
      <c r="B96" s="283" t="s">
        <v>245</v>
      </c>
      <c r="C96" s="288"/>
      <c r="D96" s="288"/>
      <c r="E96" s="283"/>
      <c r="F96" s="283"/>
      <c r="G96" s="283"/>
      <c r="H96" s="283"/>
      <c r="I96" s="382"/>
      <c r="J96" s="289"/>
      <c r="K96" s="289"/>
      <c r="L96" s="283"/>
      <c r="M96" s="315"/>
      <c r="N96" s="278"/>
      <c r="O96" s="278"/>
      <c r="P96" s="327"/>
      <c r="Q96" s="327"/>
      <c r="R96" s="327"/>
      <c r="S96" s="2"/>
      <c r="T96" s="2"/>
      <c r="U96" s="3"/>
      <c r="V96" s="3"/>
    </row>
    <row r="97" spans="1:22" s="129" customFormat="1" ht="26.4" x14ac:dyDescent="0.35">
      <c r="A97" s="283" t="s">
        <v>168</v>
      </c>
      <c r="B97" s="296" t="s">
        <v>169</v>
      </c>
      <c r="C97" s="275"/>
      <c r="D97" s="275"/>
      <c r="E97" s="278"/>
      <c r="F97" s="278"/>
      <c r="G97" s="278"/>
      <c r="H97" s="278"/>
      <c r="I97" s="383"/>
      <c r="J97" s="297"/>
      <c r="K97" s="298"/>
      <c r="L97" s="298">
        <f>SUM(L99:L122)</f>
        <v>581400</v>
      </c>
      <c r="M97" s="314"/>
      <c r="N97" s="299"/>
      <c r="O97" s="299"/>
      <c r="P97" s="327"/>
      <c r="Q97" s="327"/>
      <c r="R97" s="327"/>
      <c r="S97" s="2"/>
      <c r="T97" s="2"/>
      <c r="U97" s="3"/>
      <c r="V97" s="3"/>
    </row>
    <row r="98" spans="1:22" s="129" customFormat="1" x14ac:dyDescent="0.35">
      <c r="A98" s="283"/>
      <c r="B98" s="296" t="s">
        <v>4</v>
      </c>
      <c r="C98" s="275"/>
      <c r="D98" s="275"/>
      <c r="E98" s="278"/>
      <c r="F98" s="278"/>
      <c r="G98" s="278"/>
      <c r="H98" s="278"/>
      <c r="I98" s="383"/>
      <c r="J98" s="298"/>
      <c r="K98" s="298"/>
      <c r="L98" s="298"/>
      <c r="M98" s="314"/>
      <c r="N98" s="299"/>
      <c r="O98" s="299"/>
      <c r="P98" s="327"/>
      <c r="Q98" s="327"/>
      <c r="R98" s="327"/>
      <c r="S98" s="2"/>
      <c r="T98" s="2"/>
      <c r="U98" s="3"/>
      <c r="V98" s="3"/>
    </row>
    <row r="99" spans="1:22" s="129" customFormat="1" ht="26.4" x14ac:dyDescent="0.35">
      <c r="A99" s="309">
        <v>1</v>
      </c>
      <c r="B99" s="302" t="s">
        <v>246</v>
      </c>
      <c r="C99" s="303" t="s">
        <v>247</v>
      </c>
      <c r="D99" s="303" t="s">
        <v>248</v>
      </c>
      <c r="E99" s="304">
        <v>1</v>
      </c>
      <c r="F99" s="304">
        <v>1</v>
      </c>
      <c r="G99" s="304">
        <v>3</v>
      </c>
      <c r="H99" s="304">
        <v>2</v>
      </c>
      <c r="I99" s="373">
        <v>1</v>
      </c>
      <c r="J99" s="305">
        <f t="shared" ref="J99:J122" si="31">E99*I99*4800</f>
        <v>4800</v>
      </c>
      <c r="K99" s="305">
        <f>F99*H99*4800+F99*9000</f>
        <v>18600</v>
      </c>
      <c r="L99" s="305">
        <f t="shared" ref="L99:L122" si="32">J99+K99</f>
        <v>23400</v>
      </c>
      <c r="M99" s="314"/>
      <c r="N99" s="299"/>
      <c r="O99" s="299"/>
      <c r="P99" s="327"/>
      <c r="Q99" s="327"/>
      <c r="R99" s="327"/>
      <c r="S99" s="2"/>
      <c r="T99" s="2"/>
      <c r="U99" s="3"/>
      <c r="V99" s="3"/>
    </row>
    <row r="100" spans="1:22" s="129" customFormat="1" x14ac:dyDescent="0.35">
      <c r="A100" s="278"/>
      <c r="B100" s="307" t="s">
        <v>173</v>
      </c>
      <c r="C100" s="278"/>
      <c r="D100" s="278"/>
      <c r="E100" s="278"/>
      <c r="F100" s="278"/>
      <c r="G100" s="278"/>
      <c r="H100" s="278"/>
      <c r="I100" s="373"/>
      <c r="J100" s="305">
        <f t="shared" si="31"/>
        <v>0</v>
      </c>
      <c r="K100" s="305">
        <f t="shared" ref="K100:K122" si="33">F100*H100*4800+F100*9000</f>
        <v>0</v>
      </c>
      <c r="L100" s="305">
        <f t="shared" si="32"/>
        <v>0</v>
      </c>
      <c r="M100" s="281"/>
      <c r="N100" s="307"/>
      <c r="O100" s="307"/>
      <c r="P100" s="327"/>
      <c r="Q100" s="327"/>
      <c r="R100" s="327"/>
      <c r="S100" s="2"/>
      <c r="T100" s="2"/>
      <c r="U100" s="3"/>
      <c r="V100" s="3"/>
    </row>
    <row r="101" spans="1:22" s="129" customFormat="1" ht="26.4" x14ac:dyDescent="0.35">
      <c r="A101" s="304">
        <v>1</v>
      </c>
      <c r="B101" s="299" t="s">
        <v>249</v>
      </c>
      <c r="C101" s="303" t="s">
        <v>247</v>
      </c>
      <c r="D101" s="303" t="s">
        <v>248</v>
      </c>
      <c r="E101" s="304">
        <v>1</v>
      </c>
      <c r="F101" s="304">
        <v>1</v>
      </c>
      <c r="G101" s="304">
        <v>3</v>
      </c>
      <c r="H101" s="304">
        <v>2</v>
      </c>
      <c r="I101" s="373">
        <v>1</v>
      </c>
      <c r="J101" s="305">
        <f t="shared" si="31"/>
        <v>4800</v>
      </c>
      <c r="K101" s="305">
        <f t="shared" si="33"/>
        <v>18600</v>
      </c>
      <c r="L101" s="305">
        <f t="shared" si="32"/>
        <v>23400</v>
      </c>
      <c r="M101" s="314"/>
      <c r="N101" s="299"/>
      <c r="O101" s="299"/>
      <c r="P101" s="327"/>
      <c r="Q101" s="327"/>
      <c r="R101" s="327"/>
      <c r="S101" s="2"/>
      <c r="T101" s="2"/>
      <c r="U101" s="3"/>
      <c r="V101" s="3"/>
    </row>
    <row r="102" spans="1:22" s="129" customFormat="1" ht="26.4" x14ac:dyDescent="0.35">
      <c r="A102" s="304">
        <v>2</v>
      </c>
      <c r="B102" s="299" t="s">
        <v>250</v>
      </c>
      <c r="C102" s="304" t="s">
        <v>251</v>
      </c>
      <c r="D102" s="303" t="s">
        <v>248</v>
      </c>
      <c r="E102" s="304">
        <v>1</v>
      </c>
      <c r="F102" s="304">
        <v>1</v>
      </c>
      <c r="G102" s="304">
        <v>3</v>
      </c>
      <c r="H102" s="304">
        <v>2</v>
      </c>
      <c r="I102" s="373">
        <v>1</v>
      </c>
      <c r="J102" s="305">
        <f t="shared" si="31"/>
        <v>4800</v>
      </c>
      <c r="K102" s="305">
        <f t="shared" si="33"/>
        <v>18600</v>
      </c>
      <c r="L102" s="305">
        <f t="shared" si="32"/>
        <v>23400</v>
      </c>
      <c r="M102" s="314"/>
      <c r="N102" s="299"/>
      <c r="O102" s="299"/>
      <c r="P102" s="327"/>
      <c r="Q102" s="327"/>
      <c r="R102" s="327"/>
      <c r="S102" s="2"/>
      <c r="T102" s="2"/>
      <c r="U102" s="4"/>
      <c r="V102" s="4"/>
    </row>
    <row r="103" spans="1:22" s="129" customFormat="1" ht="26.4" x14ac:dyDescent="0.35">
      <c r="A103" s="304">
        <v>3</v>
      </c>
      <c r="B103" s="299" t="s">
        <v>252</v>
      </c>
      <c r="C103" s="304" t="s">
        <v>251</v>
      </c>
      <c r="D103" s="303" t="s">
        <v>248</v>
      </c>
      <c r="E103" s="304">
        <v>1</v>
      </c>
      <c r="F103" s="304">
        <v>1</v>
      </c>
      <c r="G103" s="304">
        <v>3</v>
      </c>
      <c r="H103" s="304">
        <v>2</v>
      </c>
      <c r="I103" s="373">
        <v>1</v>
      </c>
      <c r="J103" s="305">
        <f t="shared" si="31"/>
        <v>4800</v>
      </c>
      <c r="K103" s="305">
        <f t="shared" si="33"/>
        <v>18600</v>
      </c>
      <c r="L103" s="305">
        <f t="shared" si="32"/>
        <v>23400</v>
      </c>
      <c r="M103" s="314"/>
      <c r="N103" s="299"/>
      <c r="O103" s="299"/>
      <c r="P103" s="327"/>
      <c r="Q103" s="327"/>
      <c r="R103" s="327"/>
      <c r="S103" s="2"/>
      <c r="T103" s="2"/>
      <c r="U103" s="3"/>
      <c r="V103" s="3"/>
    </row>
    <row r="104" spans="1:22" s="129" customFormat="1" ht="26.4" x14ac:dyDescent="0.35">
      <c r="A104" s="304">
        <v>4</v>
      </c>
      <c r="B104" s="299" t="s">
        <v>253</v>
      </c>
      <c r="C104" s="303" t="s">
        <v>247</v>
      </c>
      <c r="D104" s="303" t="s">
        <v>248</v>
      </c>
      <c r="E104" s="304">
        <v>1</v>
      </c>
      <c r="F104" s="304">
        <v>1</v>
      </c>
      <c r="G104" s="304">
        <v>3</v>
      </c>
      <c r="H104" s="304">
        <v>2</v>
      </c>
      <c r="I104" s="373">
        <v>1</v>
      </c>
      <c r="J104" s="305">
        <f t="shared" si="31"/>
        <v>4800</v>
      </c>
      <c r="K104" s="305">
        <f t="shared" si="33"/>
        <v>18600</v>
      </c>
      <c r="L104" s="305">
        <f t="shared" si="32"/>
        <v>23400</v>
      </c>
      <c r="M104" s="314"/>
      <c r="N104" s="299"/>
      <c r="O104" s="299"/>
      <c r="P104" s="327"/>
      <c r="Q104" s="327"/>
      <c r="R104" s="327"/>
      <c r="S104" s="2"/>
      <c r="T104" s="2"/>
      <c r="U104" s="3"/>
      <c r="V104" s="3"/>
    </row>
    <row r="105" spans="1:22" s="129" customFormat="1" ht="26.4" x14ac:dyDescent="0.35">
      <c r="A105" s="304">
        <v>5</v>
      </c>
      <c r="B105" s="299" t="s">
        <v>254</v>
      </c>
      <c r="C105" s="303" t="s">
        <v>247</v>
      </c>
      <c r="D105" s="303" t="s">
        <v>248</v>
      </c>
      <c r="E105" s="304">
        <v>1</v>
      </c>
      <c r="F105" s="304">
        <v>1</v>
      </c>
      <c r="G105" s="304">
        <v>3</v>
      </c>
      <c r="H105" s="304">
        <v>2</v>
      </c>
      <c r="I105" s="373">
        <v>1</v>
      </c>
      <c r="J105" s="305">
        <f t="shared" si="31"/>
        <v>4800</v>
      </c>
      <c r="K105" s="305">
        <f t="shared" si="33"/>
        <v>18600</v>
      </c>
      <c r="L105" s="305">
        <f t="shared" si="32"/>
        <v>23400</v>
      </c>
      <c r="M105" s="314"/>
      <c r="N105" s="299"/>
      <c r="O105" s="299"/>
      <c r="P105" s="327"/>
      <c r="Q105" s="327"/>
      <c r="R105" s="327"/>
      <c r="S105" s="2"/>
      <c r="T105" s="2"/>
      <c r="U105" s="3"/>
      <c r="V105" s="3"/>
    </row>
    <row r="106" spans="1:22" s="129" customFormat="1" ht="52.8" x14ac:dyDescent="0.35">
      <c r="A106" s="304">
        <v>6</v>
      </c>
      <c r="B106" s="299" t="s">
        <v>255</v>
      </c>
      <c r="C106" s="303" t="s">
        <v>247</v>
      </c>
      <c r="D106" s="303" t="s">
        <v>248</v>
      </c>
      <c r="E106" s="304">
        <v>1</v>
      </c>
      <c r="F106" s="304">
        <v>1</v>
      </c>
      <c r="G106" s="304">
        <v>3</v>
      </c>
      <c r="H106" s="304">
        <v>2</v>
      </c>
      <c r="I106" s="373">
        <v>1</v>
      </c>
      <c r="J106" s="305">
        <f t="shared" si="31"/>
        <v>4800</v>
      </c>
      <c r="K106" s="305">
        <f t="shared" si="33"/>
        <v>18600</v>
      </c>
      <c r="L106" s="305">
        <f t="shared" si="32"/>
        <v>23400</v>
      </c>
      <c r="M106" s="314"/>
      <c r="N106" s="299"/>
      <c r="O106" s="299"/>
      <c r="P106" s="327"/>
      <c r="Q106" s="327"/>
      <c r="R106" s="327"/>
      <c r="S106" s="2"/>
      <c r="T106" s="2"/>
      <c r="U106" s="3"/>
      <c r="V106" s="3"/>
    </row>
    <row r="107" spans="1:22" s="129" customFormat="1" x14ac:dyDescent="0.35">
      <c r="A107" s="278"/>
      <c r="B107" s="307" t="s">
        <v>175</v>
      </c>
      <c r="C107" s="278"/>
      <c r="D107" s="278"/>
      <c r="E107" s="278"/>
      <c r="F107" s="278"/>
      <c r="G107" s="278"/>
      <c r="H107" s="304"/>
      <c r="I107" s="373"/>
      <c r="J107" s="305">
        <f t="shared" si="31"/>
        <v>0</v>
      </c>
      <c r="K107" s="305">
        <f t="shared" si="33"/>
        <v>0</v>
      </c>
      <c r="L107" s="305">
        <f t="shared" si="32"/>
        <v>0</v>
      </c>
      <c r="M107" s="281"/>
      <c r="N107" s="307"/>
      <c r="O107" s="307"/>
      <c r="P107" s="327"/>
      <c r="Q107" s="327"/>
      <c r="R107" s="327"/>
      <c r="S107" s="2"/>
      <c r="T107" s="2"/>
      <c r="U107" s="3"/>
      <c r="V107" s="3"/>
    </row>
    <row r="108" spans="1:22" s="129" customFormat="1" ht="26.4" x14ac:dyDescent="0.35">
      <c r="A108" s="304">
        <v>1</v>
      </c>
      <c r="B108" s="299" t="s">
        <v>256</v>
      </c>
      <c r="C108" s="303" t="s">
        <v>247</v>
      </c>
      <c r="D108" s="303" t="s">
        <v>248</v>
      </c>
      <c r="E108" s="304">
        <v>1</v>
      </c>
      <c r="F108" s="304">
        <v>1</v>
      </c>
      <c r="G108" s="304">
        <v>3</v>
      </c>
      <c r="H108" s="304">
        <v>2</v>
      </c>
      <c r="I108" s="373">
        <v>1</v>
      </c>
      <c r="J108" s="305">
        <f t="shared" si="31"/>
        <v>4800</v>
      </c>
      <c r="K108" s="305">
        <f t="shared" si="33"/>
        <v>18600</v>
      </c>
      <c r="L108" s="305">
        <f t="shared" si="32"/>
        <v>23400</v>
      </c>
      <c r="M108" s="314"/>
      <c r="N108" s="299"/>
      <c r="O108" s="299"/>
      <c r="P108" s="327"/>
      <c r="Q108" s="327"/>
      <c r="R108" s="327"/>
      <c r="S108" s="2"/>
      <c r="T108" s="2"/>
      <c r="U108" s="3"/>
      <c r="V108" s="3"/>
    </row>
    <row r="109" spans="1:22" s="129" customFormat="1" ht="26.4" x14ac:dyDescent="0.35">
      <c r="A109" s="304">
        <v>2</v>
      </c>
      <c r="B109" s="299" t="s">
        <v>257</v>
      </c>
      <c r="C109" s="303" t="s">
        <v>247</v>
      </c>
      <c r="D109" s="303" t="s">
        <v>248</v>
      </c>
      <c r="E109" s="304">
        <v>1</v>
      </c>
      <c r="F109" s="304">
        <v>1</v>
      </c>
      <c r="G109" s="304">
        <v>3</v>
      </c>
      <c r="H109" s="304">
        <v>2</v>
      </c>
      <c r="I109" s="373">
        <v>1</v>
      </c>
      <c r="J109" s="305">
        <f t="shared" si="31"/>
        <v>4800</v>
      </c>
      <c r="K109" s="305">
        <f t="shared" si="33"/>
        <v>18600</v>
      </c>
      <c r="L109" s="305">
        <f t="shared" si="32"/>
        <v>23400</v>
      </c>
      <c r="M109" s="314"/>
      <c r="N109" s="299"/>
      <c r="O109" s="299"/>
      <c r="P109" s="327"/>
      <c r="Q109" s="327"/>
      <c r="R109" s="327"/>
      <c r="S109" s="2"/>
      <c r="T109" s="2"/>
      <c r="U109" s="3"/>
      <c r="V109" s="3"/>
    </row>
    <row r="110" spans="1:22" s="129" customFormat="1" ht="39.6" x14ac:dyDescent="0.35">
      <c r="A110" s="304">
        <v>3</v>
      </c>
      <c r="B110" s="299" t="s">
        <v>258</v>
      </c>
      <c r="C110" s="303" t="s">
        <v>247</v>
      </c>
      <c r="D110" s="303" t="s">
        <v>248</v>
      </c>
      <c r="E110" s="304">
        <v>1</v>
      </c>
      <c r="F110" s="304">
        <v>1</v>
      </c>
      <c r="G110" s="304">
        <v>3</v>
      </c>
      <c r="H110" s="304">
        <v>2</v>
      </c>
      <c r="I110" s="373">
        <v>1</v>
      </c>
      <c r="J110" s="305">
        <f t="shared" si="31"/>
        <v>4800</v>
      </c>
      <c r="K110" s="305">
        <f t="shared" si="33"/>
        <v>18600</v>
      </c>
      <c r="L110" s="305">
        <f t="shared" si="32"/>
        <v>23400</v>
      </c>
      <c r="M110" s="314"/>
      <c r="N110" s="299"/>
      <c r="O110" s="299"/>
      <c r="P110" s="327"/>
      <c r="Q110" s="327"/>
      <c r="R110" s="327"/>
      <c r="S110" s="2"/>
      <c r="T110" s="2"/>
      <c r="U110" s="3"/>
      <c r="V110" s="3"/>
    </row>
    <row r="111" spans="1:22" s="129" customFormat="1" ht="26.4" x14ac:dyDescent="0.35">
      <c r="A111" s="304">
        <v>4</v>
      </c>
      <c r="B111" s="299" t="s">
        <v>259</v>
      </c>
      <c r="C111" s="303" t="s">
        <v>247</v>
      </c>
      <c r="D111" s="303" t="s">
        <v>248</v>
      </c>
      <c r="E111" s="304">
        <v>1</v>
      </c>
      <c r="F111" s="304">
        <v>1</v>
      </c>
      <c r="G111" s="304">
        <v>3</v>
      </c>
      <c r="H111" s="304">
        <v>2</v>
      </c>
      <c r="I111" s="373">
        <v>1</v>
      </c>
      <c r="J111" s="305">
        <f t="shared" si="31"/>
        <v>4800</v>
      </c>
      <c r="K111" s="305">
        <f t="shared" si="33"/>
        <v>18600</v>
      </c>
      <c r="L111" s="305">
        <f t="shared" si="32"/>
        <v>23400</v>
      </c>
      <c r="M111" s="314"/>
      <c r="N111" s="299"/>
      <c r="O111" s="299"/>
      <c r="P111" s="327"/>
      <c r="Q111" s="327"/>
      <c r="R111" s="327"/>
      <c r="S111" s="2"/>
      <c r="T111" s="2"/>
      <c r="U111" s="3"/>
      <c r="V111" s="3"/>
    </row>
    <row r="112" spans="1:22" s="129" customFormat="1" ht="26.4" x14ac:dyDescent="0.35">
      <c r="A112" s="304">
        <v>5</v>
      </c>
      <c r="B112" s="299" t="s">
        <v>260</v>
      </c>
      <c r="C112" s="304" t="s">
        <v>193</v>
      </c>
      <c r="D112" s="303" t="s">
        <v>248</v>
      </c>
      <c r="E112" s="304">
        <v>3</v>
      </c>
      <c r="F112" s="304">
        <v>3</v>
      </c>
      <c r="G112" s="304">
        <v>6</v>
      </c>
      <c r="H112" s="304">
        <v>5</v>
      </c>
      <c r="I112" s="373">
        <v>1</v>
      </c>
      <c r="J112" s="305">
        <f t="shared" si="31"/>
        <v>14400</v>
      </c>
      <c r="K112" s="305">
        <f t="shared" si="33"/>
        <v>99000</v>
      </c>
      <c r="L112" s="305">
        <f t="shared" si="32"/>
        <v>113400</v>
      </c>
      <c r="M112" s="314"/>
      <c r="N112" s="299"/>
      <c r="O112" s="299"/>
      <c r="P112" s="327"/>
      <c r="Q112" s="327">
        <v>10</v>
      </c>
      <c r="R112" s="327">
        <v>2</v>
      </c>
      <c r="S112" s="2"/>
      <c r="T112" s="2"/>
      <c r="U112" s="3"/>
      <c r="V112" s="3"/>
    </row>
    <row r="113" spans="1:22" s="129" customFormat="1" ht="26.4" x14ac:dyDescent="0.35">
      <c r="A113" s="304">
        <v>6</v>
      </c>
      <c r="B113" s="299" t="s">
        <v>261</v>
      </c>
      <c r="C113" s="304" t="s">
        <v>251</v>
      </c>
      <c r="D113" s="303" t="s">
        <v>248</v>
      </c>
      <c r="E113" s="304">
        <v>1</v>
      </c>
      <c r="F113" s="304">
        <v>1</v>
      </c>
      <c r="G113" s="304">
        <v>3</v>
      </c>
      <c r="H113" s="304">
        <v>2</v>
      </c>
      <c r="I113" s="373">
        <v>1</v>
      </c>
      <c r="J113" s="305">
        <f t="shared" si="31"/>
        <v>4800</v>
      </c>
      <c r="K113" s="305">
        <f t="shared" si="33"/>
        <v>18600</v>
      </c>
      <c r="L113" s="305">
        <f t="shared" si="32"/>
        <v>23400</v>
      </c>
      <c r="M113" s="314"/>
      <c r="N113" s="299"/>
      <c r="O113" s="299"/>
      <c r="P113" s="327"/>
      <c r="Q113" s="327"/>
      <c r="R113" s="327"/>
      <c r="S113" s="2"/>
      <c r="T113" s="2"/>
      <c r="U113" s="148"/>
      <c r="V113" s="148"/>
    </row>
    <row r="114" spans="1:22" s="129" customFormat="1" ht="26.4" x14ac:dyDescent="0.35">
      <c r="A114" s="304">
        <v>7</v>
      </c>
      <c r="B114" s="299" t="s">
        <v>262</v>
      </c>
      <c r="C114" s="303" t="s">
        <v>247</v>
      </c>
      <c r="D114" s="303" t="s">
        <v>248</v>
      </c>
      <c r="E114" s="304">
        <v>1</v>
      </c>
      <c r="F114" s="304">
        <v>1</v>
      </c>
      <c r="G114" s="304">
        <v>3</v>
      </c>
      <c r="H114" s="304">
        <v>2</v>
      </c>
      <c r="I114" s="373">
        <v>1</v>
      </c>
      <c r="J114" s="305">
        <f t="shared" si="31"/>
        <v>4800</v>
      </c>
      <c r="K114" s="305">
        <f t="shared" si="33"/>
        <v>18600</v>
      </c>
      <c r="L114" s="305">
        <f t="shared" si="32"/>
        <v>23400</v>
      </c>
      <c r="M114" s="314"/>
      <c r="N114" s="299"/>
      <c r="O114" s="299"/>
      <c r="P114" s="327"/>
      <c r="Q114" s="327"/>
      <c r="R114" s="327"/>
      <c r="S114" s="2"/>
      <c r="T114" s="2"/>
      <c r="U114" s="148"/>
      <c r="V114" s="148"/>
    </row>
    <row r="115" spans="1:22" s="129" customFormat="1" x14ac:dyDescent="0.35">
      <c r="A115" s="304"/>
      <c r="B115" s="307" t="s">
        <v>177</v>
      </c>
      <c r="C115" s="278"/>
      <c r="D115" s="278"/>
      <c r="E115" s="278"/>
      <c r="F115" s="278"/>
      <c r="G115" s="278"/>
      <c r="H115" s="304"/>
      <c r="I115" s="373"/>
      <c r="J115" s="305">
        <f t="shared" si="31"/>
        <v>0</v>
      </c>
      <c r="K115" s="305">
        <f t="shared" si="33"/>
        <v>0</v>
      </c>
      <c r="L115" s="305">
        <f t="shared" si="32"/>
        <v>0</v>
      </c>
      <c r="M115" s="281"/>
      <c r="N115" s="307"/>
      <c r="O115" s="307"/>
      <c r="P115" s="327"/>
      <c r="Q115" s="327"/>
      <c r="R115" s="327"/>
      <c r="S115" s="2"/>
      <c r="T115" s="2"/>
      <c r="U115" s="148"/>
      <c r="V115" s="148"/>
    </row>
    <row r="116" spans="1:22" s="129" customFormat="1" ht="26.4" x14ac:dyDescent="0.35">
      <c r="A116" s="304">
        <v>1</v>
      </c>
      <c r="B116" s="299" t="s">
        <v>263</v>
      </c>
      <c r="C116" s="304" t="s">
        <v>251</v>
      </c>
      <c r="D116" s="303" t="s">
        <v>248</v>
      </c>
      <c r="E116" s="304">
        <v>1</v>
      </c>
      <c r="F116" s="304">
        <v>1</v>
      </c>
      <c r="G116" s="304">
        <v>3</v>
      </c>
      <c r="H116" s="304">
        <v>2</v>
      </c>
      <c r="I116" s="373">
        <v>1</v>
      </c>
      <c r="J116" s="305">
        <f t="shared" si="31"/>
        <v>4800</v>
      </c>
      <c r="K116" s="305">
        <f t="shared" si="33"/>
        <v>18600</v>
      </c>
      <c r="L116" s="305">
        <f t="shared" si="32"/>
        <v>23400</v>
      </c>
      <c r="M116" s="314"/>
      <c r="N116" s="299"/>
      <c r="O116" s="299"/>
      <c r="P116" s="327"/>
      <c r="Q116" s="327"/>
      <c r="R116" s="327"/>
      <c r="S116" s="2"/>
      <c r="T116" s="2"/>
      <c r="U116" s="148"/>
      <c r="V116" s="148"/>
    </row>
    <row r="117" spans="1:22" s="129" customFormat="1" ht="26.4" x14ac:dyDescent="0.35">
      <c r="A117" s="304">
        <v>2</v>
      </c>
      <c r="B117" s="299" t="s">
        <v>264</v>
      </c>
      <c r="C117" s="303" t="s">
        <v>247</v>
      </c>
      <c r="D117" s="303" t="s">
        <v>248</v>
      </c>
      <c r="E117" s="304">
        <v>2</v>
      </c>
      <c r="F117" s="304">
        <v>2</v>
      </c>
      <c r="G117" s="304">
        <v>3</v>
      </c>
      <c r="H117" s="304">
        <v>2</v>
      </c>
      <c r="I117" s="373">
        <v>1</v>
      </c>
      <c r="J117" s="305">
        <f t="shared" si="31"/>
        <v>9600</v>
      </c>
      <c r="K117" s="305">
        <f t="shared" si="33"/>
        <v>37200</v>
      </c>
      <c r="L117" s="305">
        <f t="shared" si="32"/>
        <v>46800</v>
      </c>
      <c r="M117" s="314"/>
      <c r="N117" s="299"/>
      <c r="O117" s="299"/>
      <c r="P117" s="327"/>
      <c r="Q117" s="327">
        <v>2</v>
      </c>
      <c r="R117" s="327">
        <v>1</v>
      </c>
      <c r="S117" s="2"/>
      <c r="T117" s="2"/>
      <c r="U117" s="148"/>
      <c r="V117" s="148"/>
    </row>
    <row r="118" spans="1:22" s="129" customFormat="1" x14ac:dyDescent="0.35">
      <c r="A118" s="304"/>
      <c r="B118" s="307" t="s">
        <v>192</v>
      </c>
      <c r="C118" s="278"/>
      <c r="D118" s="278"/>
      <c r="E118" s="278"/>
      <c r="F118" s="278"/>
      <c r="G118" s="304"/>
      <c r="H118" s="304"/>
      <c r="I118" s="373">
        <v>1</v>
      </c>
      <c r="J118" s="305">
        <f t="shared" si="31"/>
        <v>0</v>
      </c>
      <c r="K118" s="305">
        <f t="shared" si="33"/>
        <v>0</v>
      </c>
      <c r="L118" s="305">
        <f t="shared" si="32"/>
        <v>0</v>
      </c>
      <c r="M118" s="281"/>
      <c r="N118" s="307"/>
      <c r="O118" s="307"/>
      <c r="P118" s="327"/>
      <c r="Q118" s="327"/>
      <c r="R118" s="327"/>
      <c r="S118" s="2"/>
      <c r="T118" s="2"/>
      <c r="U118" s="148"/>
      <c r="V118" s="148"/>
    </row>
    <row r="119" spans="1:22" s="129" customFormat="1" ht="39.6" x14ac:dyDescent="0.35">
      <c r="A119" s="304">
        <v>1</v>
      </c>
      <c r="B119" s="299" t="s">
        <v>265</v>
      </c>
      <c r="C119" s="303" t="s">
        <v>247</v>
      </c>
      <c r="D119" s="303" t="s">
        <v>248</v>
      </c>
      <c r="E119" s="304">
        <v>1</v>
      </c>
      <c r="F119" s="304">
        <v>1</v>
      </c>
      <c r="G119" s="304">
        <v>3</v>
      </c>
      <c r="H119" s="304">
        <v>2</v>
      </c>
      <c r="I119" s="373">
        <v>1</v>
      </c>
      <c r="J119" s="305">
        <f t="shared" si="31"/>
        <v>4800</v>
      </c>
      <c r="K119" s="305">
        <f t="shared" si="33"/>
        <v>18600</v>
      </c>
      <c r="L119" s="305">
        <f t="shared" si="32"/>
        <v>23400</v>
      </c>
      <c r="M119" s="314"/>
      <c r="N119" s="299"/>
      <c r="O119" s="299"/>
      <c r="P119" s="327"/>
      <c r="Q119" s="327"/>
      <c r="R119" s="327"/>
      <c r="S119" s="2"/>
      <c r="T119" s="2"/>
      <c r="U119" s="148"/>
      <c r="V119" s="148"/>
    </row>
    <row r="120" spans="1:22" s="129" customFormat="1" ht="26.4" x14ac:dyDescent="0.35">
      <c r="A120" s="304">
        <v>2</v>
      </c>
      <c r="B120" s="299" t="s">
        <v>266</v>
      </c>
      <c r="C120" s="304" t="s">
        <v>251</v>
      </c>
      <c r="D120" s="303" t="s">
        <v>248</v>
      </c>
      <c r="E120" s="304">
        <v>1</v>
      </c>
      <c r="F120" s="304">
        <v>1</v>
      </c>
      <c r="G120" s="304">
        <v>3</v>
      </c>
      <c r="H120" s="304">
        <v>2</v>
      </c>
      <c r="I120" s="373">
        <v>1</v>
      </c>
      <c r="J120" s="305">
        <f t="shared" si="31"/>
        <v>4800</v>
      </c>
      <c r="K120" s="305">
        <f t="shared" si="33"/>
        <v>18600</v>
      </c>
      <c r="L120" s="305">
        <f t="shared" si="32"/>
        <v>23400</v>
      </c>
      <c r="M120" s="314"/>
      <c r="N120" s="299"/>
      <c r="O120" s="299"/>
      <c r="P120" s="327"/>
      <c r="Q120" s="327"/>
      <c r="R120" s="327"/>
      <c r="S120" s="2"/>
      <c r="T120" s="2"/>
      <c r="U120" s="148"/>
      <c r="V120" s="148"/>
    </row>
    <row r="121" spans="1:22" s="129" customFormat="1" ht="26.4" x14ac:dyDescent="0.35">
      <c r="A121" s="304">
        <v>3</v>
      </c>
      <c r="B121" s="299" t="s">
        <v>267</v>
      </c>
      <c r="C121" s="304" t="s">
        <v>251</v>
      </c>
      <c r="D121" s="303" t="s">
        <v>248</v>
      </c>
      <c r="E121" s="304">
        <v>1</v>
      </c>
      <c r="F121" s="304">
        <v>1</v>
      </c>
      <c r="G121" s="304">
        <v>3</v>
      </c>
      <c r="H121" s="304">
        <v>2</v>
      </c>
      <c r="I121" s="373">
        <v>1</v>
      </c>
      <c r="J121" s="305">
        <f t="shared" si="31"/>
        <v>4800</v>
      </c>
      <c r="K121" s="305">
        <f t="shared" si="33"/>
        <v>18600</v>
      </c>
      <c r="L121" s="305">
        <f t="shared" si="32"/>
        <v>23400</v>
      </c>
      <c r="M121" s="314"/>
      <c r="N121" s="299"/>
      <c r="O121" s="299"/>
      <c r="P121" s="327"/>
      <c r="Q121" s="327"/>
      <c r="R121" s="327"/>
      <c r="S121" s="2"/>
      <c r="T121" s="2"/>
      <c r="U121" s="148"/>
      <c r="V121" s="148"/>
    </row>
    <row r="122" spans="1:22" s="129" customFormat="1" ht="39.6" x14ac:dyDescent="0.35">
      <c r="A122" s="304">
        <v>4</v>
      </c>
      <c r="B122" s="299" t="s">
        <v>268</v>
      </c>
      <c r="C122" s="303" t="s">
        <v>247</v>
      </c>
      <c r="D122" s="303" t="s">
        <v>248</v>
      </c>
      <c r="E122" s="304">
        <v>1</v>
      </c>
      <c r="F122" s="304">
        <v>1</v>
      </c>
      <c r="G122" s="304">
        <v>3</v>
      </c>
      <c r="H122" s="304">
        <v>2</v>
      </c>
      <c r="I122" s="373">
        <v>1</v>
      </c>
      <c r="J122" s="305">
        <f t="shared" si="31"/>
        <v>4800</v>
      </c>
      <c r="K122" s="305">
        <f t="shared" si="33"/>
        <v>18600</v>
      </c>
      <c r="L122" s="305">
        <f t="shared" si="32"/>
        <v>23400</v>
      </c>
      <c r="M122" s="314"/>
      <c r="N122" s="299"/>
      <c r="O122" s="299"/>
      <c r="P122" s="327"/>
      <c r="Q122" s="327"/>
      <c r="R122" s="327"/>
      <c r="S122" s="2"/>
      <c r="T122" s="2"/>
      <c r="U122" s="148"/>
      <c r="V122" s="148"/>
    </row>
    <row r="123" spans="1:22" s="134" customFormat="1" ht="26.4" x14ac:dyDescent="0.25">
      <c r="A123" s="283">
        <v>36</v>
      </c>
      <c r="B123" s="283" t="s">
        <v>269</v>
      </c>
      <c r="C123" s="288"/>
      <c r="D123" s="288"/>
      <c r="E123" s="283"/>
      <c r="F123" s="283"/>
      <c r="G123" s="283"/>
      <c r="H123" s="283"/>
      <c r="I123" s="283"/>
      <c r="J123" s="289"/>
      <c r="K123" s="289"/>
      <c r="L123" s="283"/>
      <c r="M123" s="315"/>
      <c r="N123" s="278"/>
      <c r="O123" s="278"/>
      <c r="P123" s="316"/>
      <c r="Q123" s="316"/>
      <c r="R123" s="316"/>
      <c r="S123" s="133"/>
      <c r="T123" s="133"/>
      <c r="U123" s="148"/>
      <c r="V123" s="148"/>
    </row>
    <row r="124" spans="1:22" s="139" customFormat="1" ht="26.4" x14ac:dyDescent="0.3">
      <c r="A124" s="283" t="s">
        <v>168</v>
      </c>
      <c r="B124" s="296" t="s">
        <v>169</v>
      </c>
      <c r="C124" s="275"/>
      <c r="D124" s="275"/>
      <c r="E124" s="278"/>
      <c r="F124" s="278"/>
      <c r="G124" s="278"/>
      <c r="H124" s="278"/>
      <c r="I124" s="278"/>
      <c r="J124" s="297"/>
      <c r="K124" s="298"/>
      <c r="L124" s="298"/>
      <c r="M124" s="314"/>
      <c r="N124" s="299"/>
      <c r="O124" s="299"/>
      <c r="P124" s="317"/>
      <c r="Q124" s="317"/>
      <c r="R124" s="317"/>
      <c r="S124" s="146"/>
      <c r="T124" s="146"/>
      <c r="U124" s="137"/>
      <c r="V124" s="137"/>
    </row>
    <row r="125" spans="1:22" s="139" customFormat="1" ht="15.6" x14ac:dyDescent="0.3">
      <c r="A125" s="283"/>
      <c r="B125" s="296" t="s">
        <v>4</v>
      </c>
      <c r="C125" s="275"/>
      <c r="D125" s="275"/>
      <c r="E125" s="278"/>
      <c r="F125" s="278"/>
      <c r="G125" s="278"/>
      <c r="H125" s="278"/>
      <c r="I125" s="278"/>
      <c r="J125" s="298"/>
      <c r="K125" s="298"/>
      <c r="L125" s="298"/>
      <c r="M125" s="314"/>
      <c r="N125" s="299"/>
      <c r="O125" s="299"/>
      <c r="P125" s="317"/>
      <c r="Q125" s="317"/>
      <c r="R125" s="317"/>
      <c r="S125" s="146"/>
      <c r="T125" s="146"/>
      <c r="U125" s="137"/>
      <c r="V125" s="137"/>
    </row>
    <row r="126" spans="1:22" s="139" customFormat="1" ht="30.75" customHeight="1" x14ac:dyDescent="0.3">
      <c r="A126" s="309">
        <v>1</v>
      </c>
      <c r="B126" s="302" t="s">
        <v>270</v>
      </c>
      <c r="C126" s="703" t="s">
        <v>100</v>
      </c>
      <c r="D126" s="693" t="s">
        <v>271</v>
      </c>
      <c r="E126" s="304">
        <v>1</v>
      </c>
      <c r="F126" s="304">
        <v>1</v>
      </c>
      <c r="G126" s="304">
        <v>2</v>
      </c>
      <c r="H126" s="304">
        <v>1</v>
      </c>
      <c r="I126" s="379">
        <v>1</v>
      </c>
      <c r="J126" s="305">
        <f t="shared" ref="J126:J145" si="34">E126*I126*4800</f>
        <v>4800</v>
      </c>
      <c r="K126" s="305">
        <f t="shared" ref="K126:K145" si="35">F126*H126*4800+F126*9000</f>
        <v>13800</v>
      </c>
      <c r="L126" s="305">
        <f t="shared" ref="L126:L145" si="36">J126+K126</f>
        <v>18600</v>
      </c>
      <c r="M126" s="314"/>
      <c r="N126" s="299"/>
      <c r="O126" s="299"/>
      <c r="P126" s="317"/>
      <c r="Q126" s="317"/>
      <c r="R126" s="317"/>
      <c r="S126" s="146"/>
      <c r="T126" s="146"/>
      <c r="U126" s="143"/>
      <c r="V126" s="143"/>
    </row>
    <row r="127" spans="1:22" s="139" customFormat="1" ht="15.6" x14ac:dyDescent="0.3">
      <c r="A127" s="309">
        <v>2</v>
      </c>
      <c r="B127" s="302" t="s">
        <v>272</v>
      </c>
      <c r="C127" s="703"/>
      <c r="D127" s="704"/>
      <c r="E127" s="304">
        <v>1</v>
      </c>
      <c r="F127" s="304">
        <v>1</v>
      </c>
      <c r="G127" s="304">
        <v>2</v>
      </c>
      <c r="H127" s="304">
        <v>1</v>
      </c>
      <c r="I127" s="379">
        <v>1</v>
      </c>
      <c r="J127" s="305">
        <f t="shared" si="34"/>
        <v>4800</v>
      </c>
      <c r="K127" s="305">
        <f t="shared" si="35"/>
        <v>13800</v>
      </c>
      <c r="L127" s="305">
        <f t="shared" si="36"/>
        <v>18600</v>
      </c>
      <c r="M127" s="314"/>
      <c r="N127" s="299"/>
      <c r="O127" s="299"/>
      <c r="P127" s="317"/>
      <c r="Q127" s="317"/>
      <c r="R127" s="317"/>
      <c r="S127" s="146"/>
      <c r="T127" s="146"/>
      <c r="U127" s="137"/>
      <c r="V127" s="137"/>
    </row>
    <row r="128" spans="1:22" s="139" customFormat="1" ht="26.4" x14ac:dyDescent="0.3">
      <c r="A128" s="301">
        <v>3</v>
      </c>
      <c r="B128" s="306" t="s">
        <v>273</v>
      </c>
      <c r="C128" s="331" t="s">
        <v>274</v>
      </c>
      <c r="D128" s="694"/>
      <c r="E128" s="303">
        <v>2</v>
      </c>
      <c r="F128" s="303">
        <v>2</v>
      </c>
      <c r="G128" s="303">
        <v>2</v>
      </c>
      <c r="H128" s="303">
        <v>1</v>
      </c>
      <c r="I128" s="379">
        <v>1</v>
      </c>
      <c r="J128" s="305">
        <f t="shared" si="34"/>
        <v>9600</v>
      </c>
      <c r="K128" s="305">
        <f t="shared" si="35"/>
        <v>27600</v>
      </c>
      <c r="L128" s="305">
        <f t="shared" si="36"/>
        <v>37200</v>
      </c>
      <c r="M128" s="318"/>
      <c r="N128" s="299"/>
      <c r="O128" s="299"/>
      <c r="P128" s="317"/>
      <c r="Q128" s="317">
        <v>2</v>
      </c>
      <c r="R128" s="317">
        <v>1</v>
      </c>
      <c r="S128" s="146"/>
      <c r="T128" s="146"/>
      <c r="U128" s="137"/>
      <c r="V128" s="137"/>
    </row>
    <row r="129" spans="1:22" s="145" customFormat="1" ht="15.6" x14ac:dyDescent="0.3">
      <c r="A129" s="278"/>
      <c r="B129" s="307" t="s">
        <v>173</v>
      </c>
      <c r="C129" s="278"/>
      <c r="D129" s="278"/>
      <c r="E129" s="278"/>
      <c r="F129" s="278"/>
      <c r="G129" s="278"/>
      <c r="H129" s="278"/>
      <c r="I129" s="377"/>
      <c r="J129" s="305">
        <f t="shared" si="34"/>
        <v>0</v>
      </c>
      <c r="K129" s="305">
        <f t="shared" si="35"/>
        <v>0</v>
      </c>
      <c r="L129" s="305">
        <f t="shared" si="36"/>
        <v>0</v>
      </c>
      <c r="M129" s="281"/>
      <c r="N129" s="307"/>
      <c r="O129" s="307"/>
      <c r="P129" s="319"/>
      <c r="Q129" s="319"/>
      <c r="R129" s="319"/>
      <c r="S129" s="147"/>
      <c r="T129" s="147"/>
      <c r="U129" s="137"/>
      <c r="V129" s="137"/>
    </row>
    <row r="130" spans="1:22" s="139" customFormat="1" ht="26.4" x14ac:dyDescent="0.3">
      <c r="A130" s="304">
        <v>1</v>
      </c>
      <c r="B130" s="302" t="s">
        <v>270</v>
      </c>
      <c r="C130" s="304" t="s">
        <v>275</v>
      </c>
      <c r="D130" s="693" t="s">
        <v>271</v>
      </c>
      <c r="E130" s="304">
        <v>1</v>
      </c>
      <c r="F130" s="304">
        <v>1</v>
      </c>
      <c r="G130" s="304">
        <v>2</v>
      </c>
      <c r="H130" s="304">
        <v>1</v>
      </c>
      <c r="I130" s="379">
        <v>1</v>
      </c>
      <c r="J130" s="305">
        <f t="shared" si="34"/>
        <v>4800</v>
      </c>
      <c r="K130" s="305">
        <f t="shared" si="35"/>
        <v>13800</v>
      </c>
      <c r="L130" s="305">
        <f t="shared" si="36"/>
        <v>18600</v>
      </c>
      <c r="M130" s="314"/>
      <c r="N130" s="299"/>
      <c r="O130" s="299"/>
      <c r="P130" s="317"/>
      <c r="Q130" s="317"/>
      <c r="R130" s="317"/>
      <c r="S130" s="146"/>
      <c r="T130" s="146"/>
      <c r="U130" s="137"/>
      <c r="V130" s="137"/>
    </row>
    <row r="131" spans="1:22" s="139" customFormat="1" ht="26.4" x14ac:dyDescent="0.3">
      <c r="A131" s="304">
        <v>2</v>
      </c>
      <c r="B131" s="306" t="s">
        <v>273</v>
      </c>
      <c r="C131" s="331" t="s">
        <v>274</v>
      </c>
      <c r="D131" s="694"/>
      <c r="E131" s="304">
        <v>2</v>
      </c>
      <c r="F131" s="304">
        <v>2</v>
      </c>
      <c r="G131" s="304">
        <v>2</v>
      </c>
      <c r="H131" s="304">
        <v>1</v>
      </c>
      <c r="I131" s="379">
        <v>1</v>
      </c>
      <c r="J131" s="305">
        <f t="shared" si="34"/>
        <v>9600</v>
      </c>
      <c r="K131" s="305">
        <f t="shared" si="35"/>
        <v>27600</v>
      </c>
      <c r="L131" s="305">
        <f t="shared" si="36"/>
        <v>37200</v>
      </c>
      <c r="M131" s="314"/>
      <c r="N131" s="299"/>
      <c r="O131" s="299"/>
      <c r="P131" s="317"/>
      <c r="Q131" s="317">
        <v>2</v>
      </c>
      <c r="R131" s="317">
        <v>1</v>
      </c>
      <c r="S131" s="146"/>
      <c r="T131" s="146"/>
      <c r="U131" s="137"/>
      <c r="V131" s="137"/>
    </row>
    <row r="132" spans="1:22" s="145" customFormat="1" ht="15.6" x14ac:dyDescent="0.3">
      <c r="A132" s="278"/>
      <c r="B132" s="307" t="s">
        <v>175</v>
      </c>
      <c r="C132" s="278"/>
      <c r="D132" s="278"/>
      <c r="E132" s="278"/>
      <c r="F132" s="278"/>
      <c r="G132" s="278"/>
      <c r="H132" s="278"/>
      <c r="I132" s="377"/>
      <c r="J132" s="305">
        <f t="shared" si="34"/>
        <v>0</v>
      </c>
      <c r="K132" s="305">
        <f t="shared" si="35"/>
        <v>0</v>
      </c>
      <c r="L132" s="305">
        <f t="shared" si="36"/>
        <v>0</v>
      </c>
      <c r="M132" s="281"/>
      <c r="N132" s="307"/>
      <c r="O132" s="307"/>
      <c r="P132" s="319"/>
      <c r="Q132" s="319"/>
      <c r="R132" s="319"/>
      <c r="S132" s="147"/>
      <c r="T132" s="147"/>
      <c r="U132" s="137"/>
      <c r="V132" s="137"/>
    </row>
    <row r="133" spans="1:22" s="139" customFormat="1" ht="26.4" x14ac:dyDescent="0.3">
      <c r="A133" s="304">
        <v>1</v>
      </c>
      <c r="B133" s="302" t="s">
        <v>270</v>
      </c>
      <c r="C133" s="304" t="s">
        <v>275</v>
      </c>
      <c r="D133" s="693" t="s">
        <v>271</v>
      </c>
      <c r="E133" s="304">
        <v>2</v>
      </c>
      <c r="F133" s="304">
        <v>2</v>
      </c>
      <c r="G133" s="304">
        <v>3</v>
      </c>
      <c r="H133" s="304">
        <v>2</v>
      </c>
      <c r="I133" s="379">
        <v>2</v>
      </c>
      <c r="J133" s="305">
        <f t="shared" si="34"/>
        <v>19200</v>
      </c>
      <c r="K133" s="305">
        <f t="shared" si="35"/>
        <v>37200</v>
      </c>
      <c r="L133" s="305">
        <f t="shared" si="36"/>
        <v>56400</v>
      </c>
      <c r="M133" s="314"/>
      <c r="N133" s="299"/>
      <c r="O133" s="299"/>
      <c r="P133" s="317"/>
      <c r="Q133" s="317">
        <v>2</v>
      </c>
      <c r="R133" s="317">
        <v>2</v>
      </c>
      <c r="S133" s="146"/>
      <c r="T133" s="146"/>
      <c r="U133" s="137"/>
      <c r="V133" s="137"/>
    </row>
    <row r="134" spans="1:22" s="139" customFormat="1" ht="26.4" x14ac:dyDescent="0.3">
      <c r="A134" s="304">
        <v>2</v>
      </c>
      <c r="B134" s="306" t="s">
        <v>273</v>
      </c>
      <c r="C134" s="331" t="s">
        <v>274</v>
      </c>
      <c r="D134" s="694"/>
      <c r="E134" s="304">
        <v>2</v>
      </c>
      <c r="F134" s="304">
        <v>2</v>
      </c>
      <c r="G134" s="304">
        <v>2</v>
      </c>
      <c r="H134" s="304">
        <v>1</v>
      </c>
      <c r="I134" s="379">
        <v>1</v>
      </c>
      <c r="J134" s="305">
        <f t="shared" si="34"/>
        <v>9600</v>
      </c>
      <c r="K134" s="305">
        <f t="shared" si="35"/>
        <v>27600</v>
      </c>
      <c r="L134" s="305">
        <f t="shared" si="36"/>
        <v>37200</v>
      </c>
      <c r="M134" s="314"/>
      <c r="N134" s="299"/>
      <c r="O134" s="299"/>
      <c r="P134" s="317"/>
      <c r="Q134" s="317">
        <v>2</v>
      </c>
      <c r="R134" s="317">
        <v>1</v>
      </c>
      <c r="S134" s="146"/>
      <c r="T134" s="146"/>
      <c r="U134" s="137"/>
      <c r="V134" s="137"/>
    </row>
    <row r="135" spans="1:22" s="145" customFormat="1" ht="15.6" x14ac:dyDescent="0.3">
      <c r="A135" s="278"/>
      <c r="B135" s="307" t="s">
        <v>177</v>
      </c>
      <c r="C135" s="278"/>
      <c r="D135" s="278"/>
      <c r="E135" s="278"/>
      <c r="F135" s="278"/>
      <c r="G135" s="278"/>
      <c r="H135" s="278"/>
      <c r="I135" s="377"/>
      <c r="J135" s="305">
        <f t="shared" si="34"/>
        <v>0</v>
      </c>
      <c r="K135" s="305">
        <f t="shared" si="35"/>
        <v>0</v>
      </c>
      <c r="L135" s="305">
        <f t="shared" si="36"/>
        <v>0</v>
      </c>
      <c r="M135" s="281"/>
      <c r="N135" s="307"/>
      <c r="O135" s="307"/>
      <c r="P135" s="319"/>
      <c r="Q135" s="319"/>
      <c r="R135" s="319"/>
      <c r="S135" s="147"/>
      <c r="T135" s="147"/>
      <c r="U135" s="137"/>
      <c r="V135" s="137"/>
    </row>
    <row r="136" spans="1:22" s="139" customFormat="1" ht="26.4" x14ac:dyDescent="0.3">
      <c r="A136" s="304">
        <v>1</v>
      </c>
      <c r="B136" s="302" t="s">
        <v>270</v>
      </c>
      <c r="C136" s="304" t="s">
        <v>275</v>
      </c>
      <c r="D136" s="304" t="s">
        <v>271</v>
      </c>
      <c r="E136" s="304">
        <v>1</v>
      </c>
      <c r="F136" s="304">
        <v>1</v>
      </c>
      <c r="G136" s="304">
        <v>3</v>
      </c>
      <c r="H136" s="304">
        <v>2</v>
      </c>
      <c r="I136" s="379">
        <v>2</v>
      </c>
      <c r="J136" s="305">
        <f t="shared" si="34"/>
        <v>9600</v>
      </c>
      <c r="K136" s="305">
        <f t="shared" si="35"/>
        <v>18600</v>
      </c>
      <c r="L136" s="305">
        <f t="shared" si="36"/>
        <v>28200</v>
      </c>
      <c r="M136" s="314"/>
      <c r="N136" s="299"/>
      <c r="O136" s="299"/>
      <c r="P136" s="317"/>
      <c r="Q136" s="317"/>
      <c r="R136" s="317"/>
      <c r="S136" s="146"/>
      <c r="T136" s="146"/>
      <c r="U136" s="137"/>
      <c r="V136" s="137"/>
    </row>
    <row r="137" spans="1:22" s="145" customFormat="1" ht="15.6" x14ac:dyDescent="0.3">
      <c r="A137" s="278"/>
      <c r="B137" s="307" t="s">
        <v>192</v>
      </c>
      <c r="C137" s="278"/>
      <c r="D137" s="278"/>
      <c r="E137" s="278"/>
      <c r="F137" s="278"/>
      <c r="G137" s="278"/>
      <c r="H137" s="278"/>
      <c r="I137" s="377"/>
      <c r="J137" s="305">
        <f t="shared" si="34"/>
        <v>0</v>
      </c>
      <c r="K137" s="305">
        <f t="shared" si="35"/>
        <v>0</v>
      </c>
      <c r="L137" s="305">
        <f t="shared" si="36"/>
        <v>0</v>
      </c>
      <c r="M137" s="281"/>
      <c r="N137" s="307"/>
      <c r="O137" s="307"/>
      <c r="P137" s="319"/>
      <c r="Q137" s="319"/>
      <c r="R137" s="319"/>
      <c r="S137" s="147"/>
      <c r="T137" s="147"/>
      <c r="U137" s="137"/>
      <c r="V137" s="137"/>
    </row>
    <row r="138" spans="1:22" s="139" customFormat="1" ht="26.4" x14ac:dyDescent="0.3">
      <c r="A138" s="304">
        <v>1</v>
      </c>
      <c r="B138" s="302" t="s">
        <v>270</v>
      </c>
      <c r="C138" s="304" t="s">
        <v>275</v>
      </c>
      <c r="D138" s="304" t="s">
        <v>271</v>
      </c>
      <c r="E138" s="304">
        <v>1</v>
      </c>
      <c r="F138" s="304">
        <v>1</v>
      </c>
      <c r="G138" s="304">
        <v>3</v>
      </c>
      <c r="H138" s="304">
        <v>2</v>
      </c>
      <c r="I138" s="379">
        <v>2</v>
      </c>
      <c r="J138" s="305">
        <f t="shared" si="34"/>
        <v>9600</v>
      </c>
      <c r="K138" s="305">
        <f t="shared" si="35"/>
        <v>18600</v>
      </c>
      <c r="L138" s="305">
        <f t="shared" si="36"/>
        <v>28200</v>
      </c>
      <c r="M138" s="314"/>
      <c r="N138" s="299"/>
      <c r="O138" s="299"/>
      <c r="P138" s="317"/>
      <c r="Q138" s="317"/>
      <c r="R138" s="317"/>
      <c r="S138" s="146"/>
      <c r="T138" s="146"/>
      <c r="U138" s="143"/>
      <c r="V138" s="143"/>
    </row>
    <row r="139" spans="1:22" s="134" customFormat="1" ht="26.4" x14ac:dyDescent="0.25">
      <c r="A139" s="283">
        <v>37</v>
      </c>
      <c r="B139" s="283" t="s">
        <v>276</v>
      </c>
      <c r="C139" s="288"/>
      <c r="D139" s="288"/>
      <c r="E139" s="283"/>
      <c r="F139" s="283"/>
      <c r="G139" s="283"/>
      <c r="H139" s="283"/>
      <c r="I139" s="283"/>
      <c r="J139" s="305">
        <f t="shared" si="34"/>
        <v>0</v>
      </c>
      <c r="K139" s="305">
        <f t="shared" si="35"/>
        <v>0</v>
      </c>
      <c r="L139" s="305">
        <f t="shared" si="36"/>
        <v>0</v>
      </c>
      <c r="M139" s="315"/>
      <c r="N139" s="278"/>
      <c r="O139" s="278"/>
      <c r="P139" s="316"/>
      <c r="Q139" s="316"/>
      <c r="R139" s="316"/>
      <c r="S139" s="133"/>
      <c r="T139" s="133"/>
      <c r="U139" s="137"/>
      <c r="V139" s="137"/>
    </row>
    <row r="140" spans="1:22" s="139" customFormat="1" ht="26.4" x14ac:dyDescent="0.3">
      <c r="A140" s="283" t="s">
        <v>168</v>
      </c>
      <c r="B140" s="296" t="s">
        <v>169</v>
      </c>
      <c r="C140" s="275"/>
      <c r="D140" s="275"/>
      <c r="E140" s="278"/>
      <c r="F140" s="278"/>
      <c r="G140" s="278"/>
      <c r="H140" s="278"/>
      <c r="I140" s="278"/>
      <c r="J140" s="305">
        <f t="shared" si="34"/>
        <v>0</v>
      </c>
      <c r="K140" s="305">
        <f t="shared" si="35"/>
        <v>0</v>
      </c>
      <c r="L140" s="305">
        <f t="shared" si="36"/>
        <v>0</v>
      </c>
      <c r="M140" s="314"/>
      <c r="N140" s="299"/>
      <c r="O140" s="299"/>
      <c r="P140" s="317"/>
      <c r="Q140" s="317"/>
      <c r="R140" s="317"/>
      <c r="S140" s="146"/>
      <c r="T140" s="146"/>
      <c r="U140" s="137"/>
      <c r="V140" s="137"/>
    </row>
    <row r="141" spans="1:22" s="139" customFormat="1" ht="15.6" x14ac:dyDescent="0.3">
      <c r="A141" s="283"/>
      <c r="B141" s="296" t="s">
        <v>6</v>
      </c>
      <c r="C141" s="275"/>
      <c r="D141" s="275"/>
      <c r="E141" s="278"/>
      <c r="F141" s="278"/>
      <c r="G141" s="278"/>
      <c r="H141" s="278"/>
      <c r="I141" s="278"/>
      <c r="J141" s="305">
        <f t="shared" si="34"/>
        <v>0</v>
      </c>
      <c r="K141" s="305">
        <f t="shared" si="35"/>
        <v>0</v>
      </c>
      <c r="L141" s="305">
        <f t="shared" si="36"/>
        <v>0</v>
      </c>
      <c r="M141" s="314"/>
      <c r="N141" s="299"/>
      <c r="O141" s="299"/>
      <c r="P141" s="317"/>
      <c r="Q141" s="317"/>
      <c r="R141" s="317"/>
      <c r="S141" s="146"/>
      <c r="T141" s="146"/>
      <c r="U141" s="137"/>
      <c r="V141" s="137"/>
    </row>
    <row r="142" spans="1:22" s="139" customFormat="1" ht="27.75" customHeight="1" x14ac:dyDescent="0.3">
      <c r="A142" s="309">
        <v>1</v>
      </c>
      <c r="B142" s="302" t="s">
        <v>254</v>
      </c>
      <c r="C142" s="306" t="s">
        <v>277</v>
      </c>
      <c r="D142" s="306" t="s">
        <v>47</v>
      </c>
      <c r="E142" s="304">
        <v>1</v>
      </c>
      <c r="F142" s="304">
        <v>3</v>
      </c>
      <c r="G142" s="304">
        <v>3</v>
      </c>
      <c r="H142" s="304">
        <v>2</v>
      </c>
      <c r="I142" s="362">
        <v>1</v>
      </c>
      <c r="J142" s="305">
        <f t="shared" si="34"/>
        <v>4800</v>
      </c>
      <c r="K142" s="305">
        <f t="shared" si="35"/>
        <v>55800</v>
      </c>
      <c r="L142" s="305">
        <f t="shared" si="36"/>
        <v>60600</v>
      </c>
      <c r="M142" s="314"/>
      <c r="N142" s="299"/>
      <c r="O142" s="299"/>
      <c r="P142" s="317"/>
      <c r="Q142" s="317">
        <v>4</v>
      </c>
      <c r="R142" s="317"/>
      <c r="S142" s="146"/>
      <c r="T142" s="146"/>
      <c r="U142" s="137"/>
      <c r="V142" s="137"/>
    </row>
    <row r="143" spans="1:22" s="145" customFormat="1" ht="15.6" x14ac:dyDescent="0.3">
      <c r="A143" s="278"/>
      <c r="B143" s="307" t="s">
        <v>175</v>
      </c>
      <c r="C143" s="278"/>
      <c r="D143" s="278"/>
      <c r="E143" s="278"/>
      <c r="F143" s="278"/>
      <c r="G143" s="278"/>
      <c r="H143" s="278"/>
      <c r="I143" s="384"/>
      <c r="J143" s="305">
        <f t="shared" si="34"/>
        <v>0</v>
      </c>
      <c r="K143" s="305">
        <f t="shared" si="35"/>
        <v>0</v>
      </c>
      <c r="L143" s="305">
        <f t="shared" si="36"/>
        <v>0</v>
      </c>
      <c r="M143" s="281"/>
      <c r="N143" s="307"/>
      <c r="O143" s="307"/>
      <c r="P143" s="319"/>
      <c r="Q143" s="319"/>
      <c r="R143" s="319"/>
      <c r="S143" s="147"/>
      <c r="T143" s="147"/>
      <c r="U143" s="137"/>
      <c r="V143" s="137"/>
    </row>
    <row r="144" spans="1:22" s="139" customFormat="1" ht="39.6" x14ac:dyDescent="0.3">
      <c r="A144" s="304">
        <v>1</v>
      </c>
      <c r="B144" s="299" t="s">
        <v>278</v>
      </c>
      <c r="C144" s="306" t="s">
        <v>277</v>
      </c>
      <c r="D144" s="306" t="s">
        <v>47</v>
      </c>
      <c r="E144" s="304">
        <v>1</v>
      </c>
      <c r="F144" s="304">
        <v>3</v>
      </c>
      <c r="G144" s="304">
        <v>3</v>
      </c>
      <c r="H144" s="304">
        <v>2</v>
      </c>
      <c r="I144" s="385">
        <v>1</v>
      </c>
      <c r="J144" s="305">
        <f t="shared" si="34"/>
        <v>4800</v>
      </c>
      <c r="K144" s="305">
        <f t="shared" si="35"/>
        <v>55800</v>
      </c>
      <c r="L144" s="305">
        <f t="shared" si="36"/>
        <v>60600</v>
      </c>
      <c r="M144" s="314"/>
      <c r="N144" s="299"/>
      <c r="O144" s="299"/>
      <c r="P144" s="317"/>
      <c r="Q144" s="317">
        <v>4</v>
      </c>
      <c r="R144" s="317"/>
      <c r="S144" s="146"/>
      <c r="T144" s="146"/>
      <c r="U144" s="137"/>
      <c r="V144" s="137"/>
    </row>
    <row r="145" spans="1:22" s="139" customFormat="1" ht="39.6" x14ac:dyDescent="0.3">
      <c r="A145" s="304">
        <v>2</v>
      </c>
      <c r="B145" s="299" t="s">
        <v>279</v>
      </c>
      <c r="C145" s="306" t="s">
        <v>277</v>
      </c>
      <c r="D145" s="306" t="s">
        <v>47</v>
      </c>
      <c r="E145" s="304">
        <v>1</v>
      </c>
      <c r="F145" s="304">
        <v>3</v>
      </c>
      <c r="G145" s="304">
        <v>3</v>
      </c>
      <c r="H145" s="304">
        <v>2</v>
      </c>
      <c r="I145" s="385">
        <v>1</v>
      </c>
      <c r="J145" s="305">
        <f t="shared" si="34"/>
        <v>4800</v>
      </c>
      <c r="K145" s="305">
        <f t="shared" si="35"/>
        <v>55800</v>
      </c>
      <c r="L145" s="305">
        <f t="shared" si="36"/>
        <v>60600</v>
      </c>
      <c r="M145" s="314"/>
      <c r="N145" s="299"/>
      <c r="O145" s="299"/>
      <c r="P145" s="317"/>
      <c r="Q145" s="317">
        <v>4</v>
      </c>
      <c r="R145" s="317"/>
      <c r="S145" s="146"/>
      <c r="T145" s="146"/>
      <c r="U145" s="158">
        <v>2030</v>
      </c>
      <c r="V145" s="159">
        <f>L45+L56+SUM(L119:L122)+L138+L152+L182+SUM(L231:L244)+L256+L271+L288</f>
        <v>1066800</v>
      </c>
    </row>
    <row r="146" spans="1:22" s="134" customFormat="1" ht="15.6" x14ac:dyDescent="0.3">
      <c r="A146" s="370">
        <v>40</v>
      </c>
      <c r="B146" s="367" t="s">
        <v>280</v>
      </c>
      <c r="C146" s="275"/>
      <c r="D146" s="275"/>
      <c r="E146" s="278"/>
      <c r="F146" s="278"/>
      <c r="G146" s="278"/>
      <c r="H146" s="278"/>
      <c r="I146" s="278"/>
      <c r="J146" s="356"/>
      <c r="K146" s="278"/>
      <c r="L146" s="278"/>
      <c r="M146" s="276"/>
      <c r="N146" s="278"/>
      <c r="O146" s="278"/>
      <c r="P146" s="316"/>
      <c r="Q146" s="316"/>
      <c r="R146" s="316"/>
      <c r="S146" s="133"/>
      <c r="T146" s="133"/>
      <c r="U146" s="160"/>
      <c r="V146" s="160"/>
    </row>
    <row r="147" spans="1:22" s="162" customFormat="1" ht="26.4" x14ac:dyDescent="0.3">
      <c r="A147" s="283" t="s">
        <v>168</v>
      </c>
      <c r="B147" s="283" t="s">
        <v>169</v>
      </c>
      <c r="C147" s="332"/>
      <c r="D147" s="332"/>
      <c r="E147" s="386"/>
      <c r="F147" s="386"/>
      <c r="G147" s="386"/>
      <c r="H147" s="386"/>
      <c r="I147" s="386"/>
      <c r="J147" s="333">
        <f t="shared" ref="J147:K147" si="37">SUM(J148:J152)</f>
        <v>489600</v>
      </c>
      <c r="K147" s="333">
        <f t="shared" si="37"/>
        <v>306000</v>
      </c>
      <c r="L147" s="333">
        <f>SUM(L148:L152)</f>
        <v>795600</v>
      </c>
      <c r="M147" s="314"/>
      <c r="N147" s="299"/>
      <c r="O147" s="299"/>
      <c r="P147" s="317"/>
      <c r="Q147" s="317"/>
      <c r="R147" s="317"/>
      <c r="S147" s="161"/>
      <c r="T147" s="161"/>
    </row>
    <row r="148" spans="1:22" s="139" customFormat="1" ht="26.4" x14ac:dyDescent="0.3">
      <c r="A148" s="304">
        <v>1</v>
      </c>
      <c r="B148" s="334" t="s">
        <v>4</v>
      </c>
      <c r="C148" s="304" t="s">
        <v>100</v>
      </c>
      <c r="D148" s="304" t="s">
        <v>281</v>
      </c>
      <c r="E148" s="304">
        <v>3</v>
      </c>
      <c r="F148" s="304">
        <v>3</v>
      </c>
      <c r="G148" s="304">
        <v>6</v>
      </c>
      <c r="H148" s="304"/>
      <c r="I148" s="304">
        <v>3</v>
      </c>
      <c r="J148" s="335">
        <f t="shared" ref="J148:J152" si="38">E148*I148*4800</f>
        <v>43200</v>
      </c>
      <c r="K148" s="335">
        <f t="shared" ref="K148:K152" si="39">F148*H148*4800+F148*9000</f>
        <v>27000</v>
      </c>
      <c r="L148" s="335">
        <f t="shared" ref="L148:L152" si="40">J148+K148</f>
        <v>70200</v>
      </c>
      <c r="M148" s="314"/>
      <c r="N148" s="299"/>
      <c r="O148" s="299"/>
      <c r="P148" s="317"/>
      <c r="Q148" s="170"/>
      <c r="R148" s="317">
        <v>6</v>
      </c>
      <c r="S148" s="146"/>
      <c r="T148" s="146"/>
    </row>
    <row r="149" spans="1:22" s="139" customFormat="1" ht="26.4" x14ac:dyDescent="0.3">
      <c r="A149" s="304">
        <v>2</v>
      </c>
      <c r="B149" s="334" t="s">
        <v>6</v>
      </c>
      <c r="C149" s="304" t="s">
        <v>100</v>
      </c>
      <c r="D149" s="304" t="s">
        <v>281</v>
      </c>
      <c r="E149" s="304">
        <v>9</v>
      </c>
      <c r="F149" s="304">
        <v>9</v>
      </c>
      <c r="G149" s="304">
        <v>12</v>
      </c>
      <c r="H149" s="304"/>
      <c r="I149" s="304">
        <v>3</v>
      </c>
      <c r="J149" s="335">
        <f t="shared" si="38"/>
        <v>129600</v>
      </c>
      <c r="K149" s="335">
        <f t="shared" si="39"/>
        <v>81000</v>
      </c>
      <c r="L149" s="335">
        <f t="shared" si="40"/>
        <v>210600</v>
      </c>
      <c r="M149" s="314"/>
      <c r="N149" s="299"/>
      <c r="O149" s="299"/>
      <c r="P149" s="317"/>
      <c r="Q149" s="170"/>
      <c r="R149" s="317">
        <v>24</v>
      </c>
      <c r="S149" s="146"/>
      <c r="T149" s="146"/>
    </row>
    <row r="150" spans="1:22" s="139" customFormat="1" ht="26.4" x14ac:dyDescent="0.3">
      <c r="A150" s="304">
        <v>3</v>
      </c>
      <c r="B150" s="334" t="s">
        <v>7</v>
      </c>
      <c r="C150" s="304" t="s">
        <v>100</v>
      </c>
      <c r="D150" s="304" t="s">
        <v>281</v>
      </c>
      <c r="E150" s="304">
        <v>6</v>
      </c>
      <c r="F150" s="304">
        <v>6</v>
      </c>
      <c r="G150" s="304">
        <v>12</v>
      </c>
      <c r="H150" s="304"/>
      <c r="I150" s="304">
        <v>3</v>
      </c>
      <c r="J150" s="335">
        <f t="shared" si="38"/>
        <v>86400</v>
      </c>
      <c r="K150" s="335">
        <f t="shared" si="39"/>
        <v>54000</v>
      </c>
      <c r="L150" s="335">
        <f t="shared" si="40"/>
        <v>140400</v>
      </c>
      <c r="M150" s="314"/>
      <c r="N150" s="299"/>
      <c r="O150" s="299"/>
      <c r="P150" s="317"/>
      <c r="Q150" s="170"/>
      <c r="R150" s="317">
        <v>15</v>
      </c>
      <c r="S150" s="146"/>
      <c r="T150" s="146"/>
    </row>
    <row r="151" spans="1:22" s="129" customFormat="1" ht="26.4" x14ac:dyDescent="0.35">
      <c r="A151" s="304">
        <v>4</v>
      </c>
      <c r="B151" s="334" t="s">
        <v>8</v>
      </c>
      <c r="C151" s="304" t="s">
        <v>100</v>
      </c>
      <c r="D151" s="304" t="s">
        <v>281</v>
      </c>
      <c r="E151" s="304">
        <v>12</v>
      </c>
      <c r="F151" s="304">
        <v>12</v>
      </c>
      <c r="G151" s="304">
        <v>27</v>
      </c>
      <c r="H151" s="304"/>
      <c r="I151" s="304">
        <v>3</v>
      </c>
      <c r="J151" s="335">
        <f t="shared" si="38"/>
        <v>172800</v>
      </c>
      <c r="K151" s="335">
        <f t="shared" si="39"/>
        <v>108000</v>
      </c>
      <c r="L151" s="335">
        <f t="shared" si="40"/>
        <v>280800</v>
      </c>
      <c r="M151" s="336"/>
      <c r="N151" s="327"/>
      <c r="O151" s="327"/>
      <c r="P151" s="327"/>
      <c r="Q151" s="337"/>
      <c r="R151" s="327">
        <v>33</v>
      </c>
      <c r="S151" s="2"/>
      <c r="T151" s="2"/>
    </row>
    <row r="152" spans="1:22" s="129" customFormat="1" ht="26.4" x14ac:dyDescent="0.35">
      <c r="A152" s="304">
        <v>5</v>
      </c>
      <c r="B152" s="334" t="s">
        <v>9</v>
      </c>
      <c r="C152" s="304" t="s">
        <v>100</v>
      </c>
      <c r="D152" s="304" t="s">
        <v>281</v>
      </c>
      <c r="E152" s="304">
        <v>4</v>
      </c>
      <c r="F152" s="304">
        <v>4</v>
      </c>
      <c r="G152" s="304">
        <v>9</v>
      </c>
      <c r="H152" s="304"/>
      <c r="I152" s="304">
        <v>3</v>
      </c>
      <c r="J152" s="335">
        <f t="shared" si="38"/>
        <v>57600</v>
      </c>
      <c r="K152" s="335">
        <f t="shared" si="39"/>
        <v>36000</v>
      </c>
      <c r="L152" s="335">
        <f t="shared" si="40"/>
        <v>93600</v>
      </c>
      <c r="M152" s="336"/>
      <c r="N152" s="327"/>
      <c r="O152" s="327"/>
      <c r="P152" s="327"/>
      <c r="Q152" s="337"/>
      <c r="R152" s="327">
        <v>9</v>
      </c>
      <c r="S152" s="2"/>
      <c r="T152" s="2"/>
    </row>
    <row r="153" spans="1:22" customFormat="1" ht="29.4" customHeight="1" x14ac:dyDescent="0.5">
      <c r="A153" s="283">
        <v>41</v>
      </c>
      <c r="B153" s="702" t="s">
        <v>282</v>
      </c>
      <c r="C153" s="707"/>
      <c r="D153" s="288"/>
      <c r="E153" s="283"/>
      <c r="F153" s="283"/>
      <c r="G153" s="283"/>
      <c r="H153" s="283"/>
      <c r="I153" s="283"/>
      <c r="J153" s="289"/>
      <c r="K153" s="289"/>
      <c r="L153" s="283"/>
      <c r="M153" s="315"/>
      <c r="N153" s="278"/>
      <c r="O153" s="278"/>
      <c r="P153" s="387"/>
      <c r="Q153" s="388"/>
      <c r="R153" s="388"/>
    </row>
    <row r="154" spans="1:22" customFormat="1" ht="23.4" customHeight="1" x14ac:dyDescent="0.3">
      <c r="A154" s="283" t="s">
        <v>168</v>
      </c>
      <c r="B154" s="702" t="s">
        <v>169</v>
      </c>
      <c r="C154" s="707"/>
      <c r="D154" s="275"/>
      <c r="E154" s="278"/>
      <c r="F154" s="278"/>
      <c r="G154" s="278"/>
      <c r="H154" s="278"/>
      <c r="I154" s="278"/>
      <c r="J154" s="297"/>
      <c r="K154" s="298"/>
      <c r="L154" s="298"/>
      <c r="M154" s="314"/>
      <c r="N154" s="299"/>
      <c r="O154" s="299"/>
      <c r="P154" s="388"/>
      <c r="Q154" s="388"/>
      <c r="R154" s="388"/>
    </row>
    <row r="155" spans="1:22" customFormat="1" ht="14.4" x14ac:dyDescent="0.3">
      <c r="A155" s="283"/>
      <c r="B155" s="296" t="s">
        <v>4</v>
      </c>
      <c r="C155" s="278"/>
      <c r="D155" s="275"/>
      <c r="E155" s="278"/>
      <c r="F155" s="278"/>
      <c r="G155" s="278"/>
      <c r="H155" s="278"/>
      <c r="I155" s="278"/>
      <c r="J155" s="298"/>
      <c r="K155" s="298"/>
      <c r="L155" s="298"/>
      <c r="M155" s="314"/>
      <c r="N155" s="299"/>
      <c r="O155" s="299"/>
      <c r="P155" s="388"/>
      <c r="Q155" s="388"/>
      <c r="R155" s="388"/>
    </row>
    <row r="156" spans="1:22" customFormat="1" ht="37.950000000000003" customHeight="1" x14ac:dyDescent="0.3">
      <c r="A156" s="309">
        <v>1</v>
      </c>
      <c r="B156" s="334" t="s">
        <v>283</v>
      </c>
      <c r="C156" s="389" t="s">
        <v>284</v>
      </c>
      <c r="D156" s="299" t="s">
        <v>282</v>
      </c>
      <c r="E156" s="304">
        <v>2</v>
      </c>
      <c r="F156" s="304">
        <v>2</v>
      </c>
      <c r="G156" s="304">
        <v>3</v>
      </c>
      <c r="H156" s="304">
        <v>2</v>
      </c>
      <c r="I156" s="385">
        <v>1</v>
      </c>
      <c r="J156" s="305">
        <f>E156*I156*4800</f>
        <v>9600</v>
      </c>
      <c r="K156" s="305">
        <f>F156*H156*4800+F156*9000</f>
        <v>37200</v>
      </c>
      <c r="L156" s="305">
        <f t="shared" ref="L156:L157" si="41">J156+K156</f>
        <v>46800</v>
      </c>
      <c r="M156" s="314"/>
      <c r="N156" s="299"/>
      <c r="O156" s="299"/>
      <c r="P156" s="338"/>
      <c r="Q156" s="388">
        <v>2</v>
      </c>
      <c r="R156" s="388">
        <v>1</v>
      </c>
    </row>
    <row r="157" spans="1:22" customFormat="1" ht="37.950000000000003" customHeight="1" x14ac:dyDescent="0.3">
      <c r="A157" s="309">
        <v>2</v>
      </c>
      <c r="B157" s="334" t="s">
        <v>188</v>
      </c>
      <c r="C157" s="299" t="s">
        <v>285</v>
      </c>
      <c r="D157" s="299" t="s">
        <v>282</v>
      </c>
      <c r="E157" s="304">
        <v>2</v>
      </c>
      <c r="F157" s="304">
        <v>2</v>
      </c>
      <c r="G157" s="304">
        <v>2</v>
      </c>
      <c r="H157" s="304">
        <v>1</v>
      </c>
      <c r="I157" s="385">
        <v>1</v>
      </c>
      <c r="J157" s="305">
        <f>E157*I157*4800</f>
        <v>9600</v>
      </c>
      <c r="K157" s="305">
        <f>F157*H157*4800+F157*9000</f>
        <v>27600</v>
      </c>
      <c r="L157" s="305">
        <f t="shared" si="41"/>
        <v>37200</v>
      </c>
      <c r="M157" s="314"/>
      <c r="N157" s="299"/>
      <c r="O157" s="299"/>
      <c r="P157" s="388"/>
      <c r="Q157" s="388">
        <v>1</v>
      </c>
      <c r="R157" s="388">
        <v>1</v>
      </c>
    </row>
    <row r="158" spans="1:22" s="134" customFormat="1" ht="26.4" x14ac:dyDescent="0.25">
      <c r="A158" s="283">
        <v>42</v>
      </c>
      <c r="B158" s="283" t="s">
        <v>61</v>
      </c>
      <c r="C158" s="288"/>
      <c r="D158" s="288"/>
      <c r="E158" s="283"/>
      <c r="F158" s="283"/>
      <c r="G158" s="283"/>
      <c r="H158" s="283"/>
      <c r="I158" s="283"/>
      <c r="J158" s="289"/>
      <c r="K158" s="289"/>
      <c r="L158" s="283"/>
      <c r="M158" s="315"/>
      <c r="N158" s="278"/>
      <c r="O158" s="278"/>
      <c r="P158" s="316"/>
      <c r="Q158" s="316"/>
      <c r="R158" s="316"/>
      <c r="S158" s="133"/>
      <c r="T158" s="133"/>
    </row>
    <row r="159" spans="1:22" s="139" customFormat="1" ht="26.4" x14ac:dyDescent="0.3">
      <c r="A159" s="283" t="s">
        <v>168</v>
      </c>
      <c r="B159" s="296" t="s">
        <v>169</v>
      </c>
      <c r="C159" s="275"/>
      <c r="D159" s="275"/>
      <c r="E159" s="278"/>
      <c r="F159" s="278"/>
      <c r="G159" s="278"/>
      <c r="H159" s="278"/>
      <c r="I159" s="278"/>
      <c r="J159" s="297"/>
      <c r="K159" s="298"/>
      <c r="L159" s="298"/>
      <c r="M159" s="314"/>
      <c r="N159" s="299"/>
      <c r="O159" s="299"/>
      <c r="P159" s="317"/>
      <c r="Q159" s="317"/>
      <c r="R159" s="317"/>
      <c r="S159" s="146"/>
      <c r="T159" s="146"/>
    </row>
    <row r="160" spans="1:22" s="139" customFormat="1" ht="15.6" x14ac:dyDescent="0.3">
      <c r="A160" s="283"/>
      <c r="B160" s="296" t="s">
        <v>4</v>
      </c>
      <c r="C160" s="275"/>
      <c r="D160" s="275"/>
      <c r="E160" s="278"/>
      <c r="F160" s="278"/>
      <c r="G160" s="278"/>
      <c r="H160" s="278"/>
      <c r="I160" s="278"/>
      <c r="J160" s="298"/>
      <c r="K160" s="298"/>
      <c r="L160" s="298"/>
      <c r="M160" s="314"/>
      <c r="N160" s="299"/>
      <c r="O160" s="299"/>
      <c r="P160" s="317"/>
      <c r="Q160" s="317"/>
      <c r="R160" s="317"/>
      <c r="S160" s="146"/>
      <c r="T160" s="146"/>
    </row>
    <row r="161" spans="1:20" s="139" customFormat="1" ht="52.8" x14ac:dyDescent="0.3">
      <c r="A161" s="309">
        <v>1</v>
      </c>
      <c r="B161" s="302" t="s">
        <v>286</v>
      </c>
      <c r="C161" s="303" t="s">
        <v>247</v>
      </c>
      <c r="D161" s="303" t="s">
        <v>189</v>
      </c>
      <c r="E161" s="304">
        <v>2</v>
      </c>
      <c r="F161" s="304">
        <v>2</v>
      </c>
      <c r="G161" s="304">
        <v>2</v>
      </c>
      <c r="H161" s="304">
        <v>1</v>
      </c>
      <c r="I161" s="390">
        <v>1</v>
      </c>
      <c r="J161" s="305">
        <f>E161*I161*4800</f>
        <v>9600</v>
      </c>
      <c r="K161" s="305">
        <f>F161*H161*4800+F161*9000</f>
        <v>27600</v>
      </c>
      <c r="L161" s="305">
        <f t="shared" ref="L161" si="42">J161+K161</f>
        <v>37200</v>
      </c>
      <c r="M161" s="314" t="s">
        <v>287</v>
      </c>
      <c r="N161" s="299"/>
      <c r="O161" s="299"/>
      <c r="P161" s="317"/>
      <c r="Q161" s="317">
        <v>1</v>
      </c>
      <c r="R161" s="317">
        <v>1</v>
      </c>
      <c r="S161" s="146"/>
      <c r="T161" s="146"/>
    </row>
    <row r="162" spans="1:20" s="145" customFormat="1" ht="15.6" x14ac:dyDescent="0.3">
      <c r="A162" s="275"/>
      <c r="B162" s="280" t="s">
        <v>175</v>
      </c>
      <c r="C162" s="275"/>
      <c r="D162" s="275"/>
      <c r="E162" s="275"/>
      <c r="F162" s="275"/>
      <c r="G162" s="275"/>
      <c r="H162" s="275"/>
      <c r="I162" s="391"/>
      <c r="J162" s="339"/>
      <c r="K162" s="339"/>
      <c r="L162" s="339"/>
      <c r="M162" s="340"/>
      <c r="N162" s="307"/>
      <c r="O162" s="307"/>
      <c r="P162" s="319"/>
      <c r="Q162" s="319"/>
      <c r="R162" s="319"/>
      <c r="S162" s="147"/>
      <c r="T162" s="147"/>
    </row>
    <row r="163" spans="1:20" s="139" customFormat="1" ht="52.8" x14ac:dyDescent="0.3">
      <c r="A163" s="304">
        <v>1</v>
      </c>
      <c r="B163" s="299" t="s">
        <v>288</v>
      </c>
      <c r="C163" s="304" t="s">
        <v>247</v>
      </c>
      <c r="D163" s="304" t="s">
        <v>189</v>
      </c>
      <c r="E163" s="304">
        <v>2</v>
      </c>
      <c r="F163" s="304">
        <v>2</v>
      </c>
      <c r="G163" s="304">
        <v>2</v>
      </c>
      <c r="H163" s="304">
        <v>1</v>
      </c>
      <c r="I163" s="390">
        <v>1</v>
      </c>
      <c r="J163" s="305">
        <f>E163*G163*4800</f>
        <v>19200</v>
      </c>
      <c r="K163" s="305">
        <f>F163*G163*4800+9000*F163</f>
        <v>37200</v>
      </c>
      <c r="L163" s="305">
        <f>J163+K163</f>
        <v>56400</v>
      </c>
      <c r="M163" s="314" t="s">
        <v>287</v>
      </c>
      <c r="N163" s="299"/>
      <c r="O163" s="299"/>
      <c r="P163" s="317"/>
      <c r="Q163" s="317">
        <v>1</v>
      </c>
      <c r="R163" s="317">
        <v>1</v>
      </c>
      <c r="S163" s="146"/>
      <c r="T163" s="146"/>
    </row>
    <row r="164" spans="1:20" s="134" customFormat="1" ht="26.4" x14ac:dyDescent="0.25">
      <c r="A164" s="283">
        <v>44</v>
      </c>
      <c r="B164" s="283" t="s">
        <v>289</v>
      </c>
      <c r="C164" s="288"/>
      <c r="D164" s="288"/>
      <c r="E164" s="283"/>
      <c r="F164" s="283"/>
      <c r="G164" s="283"/>
      <c r="H164" s="283"/>
      <c r="I164" s="283"/>
      <c r="J164" s="289"/>
      <c r="K164" s="289"/>
      <c r="L164" s="283"/>
      <c r="M164" s="315"/>
      <c r="N164" s="278"/>
      <c r="O164" s="278"/>
      <c r="P164" s="316"/>
      <c r="Q164" s="316"/>
      <c r="R164" s="316"/>
      <c r="S164" s="133"/>
      <c r="T164" s="133"/>
    </row>
    <row r="165" spans="1:20" s="139" customFormat="1" ht="26.4" x14ac:dyDescent="0.3">
      <c r="A165" s="283" t="s">
        <v>168</v>
      </c>
      <c r="B165" s="296" t="s">
        <v>169</v>
      </c>
      <c r="C165" s="275"/>
      <c r="D165" s="275"/>
      <c r="E165" s="278"/>
      <c r="F165" s="278"/>
      <c r="G165" s="278"/>
      <c r="H165" s="278"/>
      <c r="I165" s="278"/>
      <c r="J165" s="297"/>
      <c r="K165" s="298"/>
      <c r="L165" s="298"/>
      <c r="M165" s="314"/>
      <c r="N165" s="299"/>
      <c r="O165" s="299"/>
      <c r="P165" s="317"/>
      <c r="Q165" s="317"/>
      <c r="R165" s="317"/>
      <c r="S165" s="146"/>
      <c r="T165" s="146"/>
    </row>
    <row r="166" spans="1:20" s="139" customFormat="1" ht="15.6" x14ac:dyDescent="0.3">
      <c r="A166" s="283"/>
      <c r="B166" s="296" t="s">
        <v>4</v>
      </c>
      <c r="C166" s="278"/>
      <c r="D166" s="275"/>
      <c r="E166" s="278"/>
      <c r="F166" s="278"/>
      <c r="G166" s="278"/>
      <c r="H166" s="278"/>
      <c r="I166" s="278"/>
      <c r="J166" s="298"/>
      <c r="K166" s="298"/>
      <c r="L166" s="298"/>
      <c r="M166" s="314"/>
      <c r="N166" s="299"/>
      <c r="O166" s="299"/>
      <c r="P166" s="317"/>
      <c r="Q166" s="317"/>
      <c r="R166" s="317"/>
      <c r="S166" s="146"/>
      <c r="T166" s="146"/>
    </row>
    <row r="167" spans="1:20" s="139" customFormat="1" ht="15.6" x14ac:dyDescent="0.3">
      <c r="A167" s="341"/>
      <c r="B167" s="693" t="s">
        <v>290</v>
      </c>
      <c r="C167" s="693" t="s">
        <v>171</v>
      </c>
      <c r="D167" s="693" t="s">
        <v>289</v>
      </c>
      <c r="E167" s="693">
        <v>1</v>
      </c>
      <c r="F167" s="693">
        <v>1</v>
      </c>
      <c r="G167" s="693">
        <v>3</v>
      </c>
      <c r="H167" s="693">
        <v>2</v>
      </c>
      <c r="I167" s="712">
        <v>1</v>
      </c>
      <c r="J167" s="708">
        <f t="shared" ref="J167:J168" si="43">E167*G167*4800</f>
        <v>14400</v>
      </c>
      <c r="K167" s="708">
        <f t="shared" ref="K167:K168" si="44">F167*G167*4800+9000*F167</f>
        <v>23400</v>
      </c>
      <c r="L167" s="708">
        <f t="shared" ref="L167:L168" si="45">J167+K167</f>
        <v>37800</v>
      </c>
      <c r="M167" s="710"/>
      <c r="N167" s="304"/>
      <c r="O167" s="304"/>
      <c r="P167" s="317"/>
      <c r="Q167" s="317"/>
      <c r="R167" s="317"/>
      <c r="S167" s="146"/>
      <c r="T167" s="146"/>
    </row>
    <row r="168" spans="1:20" s="139" customFormat="1" ht="17.25" customHeight="1" x14ac:dyDescent="0.3">
      <c r="A168" s="301">
        <v>1</v>
      </c>
      <c r="B168" s="694"/>
      <c r="C168" s="694"/>
      <c r="D168" s="694"/>
      <c r="E168" s="694"/>
      <c r="F168" s="694"/>
      <c r="G168" s="694"/>
      <c r="H168" s="694"/>
      <c r="I168" s="713"/>
      <c r="J168" s="709">
        <f t="shared" si="43"/>
        <v>0</v>
      </c>
      <c r="K168" s="709">
        <f t="shared" si="44"/>
        <v>0</v>
      </c>
      <c r="L168" s="709">
        <f t="shared" si="45"/>
        <v>0</v>
      </c>
      <c r="M168" s="711"/>
      <c r="N168" s="304"/>
      <c r="O168" s="304"/>
      <c r="P168" s="317"/>
      <c r="Q168" s="317"/>
      <c r="R168" s="317"/>
      <c r="S168" s="146"/>
      <c r="T168" s="146"/>
    </row>
    <row r="169" spans="1:20" s="139" customFormat="1" ht="27" customHeight="1" x14ac:dyDescent="0.3">
      <c r="A169" s="304">
        <v>2</v>
      </c>
      <c r="B169" s="304" t="s">
        <v>291</v>
      </c>
      <c r="C169" s="304" t="s">
        <v>171</v>
      </c>
      <c r="D169" s="304" t="s">
        <v>289</v>
      </c>
      <c r="E169" s="304">
        <v>1</v>
      </c>
      <c r="F169" s="304">
        <v>1</v>
      </c>
      <c r="G169" s="304">
        <v>3</v>
      </c>
      <c r="H169" s="304">
        <v>2</v>
      </c>
      <c r="I169" s="304">
        <v>1</v>
      </c>
      <c r="J169" s="343">
        <f>E169*G169*4800</f>
        <v>14400</v>
      </c>
      <c r="K169" s="343">
        <f>F169*G169*4800+9000*F169</f>
        <v>23400</v>
      </c>
      <c r="L169" s="343">
        <f>J169+K169</f>
        <v>37800</v>
      </c>
      <c r="M169" s="314"/>
      <c r="N169" s="299"/>
      <c r="O169" s="299"/>
      <c r="P169" s="317"/>
      <c r="Q169" s="317"/>
      <c r="R169" s="317"/>
      <c r="S169" s="146"/>
      <c r="T169" s="146"/>
    </row>
    <row r="170" spans="1:20" s="139" customFormat="1" ht="50.25" customHeight="1" x14ac:dyDescent="0.3">
      <c r="A170" s="304">
        <v>3</v>
      </c>
      <c r="B170" s="299" t="s">
        <v>292</v>
      </c>
      <c r="C170" s="304" t="s">
        <v>183</v>
      </c>
      <c r="D170" s="304" t="s">
        <v>289</v>
      </c>
      <c r="E170" s="304">
        <v>1</v>
      </c>
      <c r="F170" s="304">
        <v>1</v>
      </c>
      <c r="G170" s="304">
        <v>3</v>
      </c>
      <c r="H170" s="304">
        <v>2</v>
      </c>
      <c r="I170" s="304">
        <v>1</v>
      </c>
      <c r="J170" s="343">
        <f t="shared" ref="J170:J233" si="46">E170*G170*4800</f>
        <v>14400</v>
      </c>
      <c r="K170" s="343">
        <f t="shared" ref="K170:K233" si="47">F170*G170*4800+9000*F170</f>
        <v>23400</v>
      </c>
      <c r="L170" s="343">
        <f t="shared" ref="L170:L233" si="48">J170+K170</f>
        <v>37800</v>
      </c>
      <c r="M170" s="314"/>
      <c r="N170" s="299"/>
      <c r="O170" s="299"/>
      <c r="P170" s="317"/>
      <c r="Q170" s="317"/>
      <c r="R170" s="317"/>
      <c r="S170" s="146"/>
      <c r="T170" s="146"/>
    </row>
    <row r="171" spans="1:20" s="134" customFormat="1" ht="26.4" x14ac:dyDescent="0.25">
      <c r="A171" s="283">
        <v>45</v>
      </c>
      <c r="B171" s="283" t="s">
        <v>65</v>
      </c>
      <c r="C171" s="288"/>
      <c r="D171" s="288"/>
      <c r="E171" s="283"/>
      <c r="F171" s="283"/>
      <c r="G171" s="283"/>
      <c r="H171" s="283"/>
      <c r="I171" s="283"/>
      <c r="J171" s="343">
        <f t="shared" si="46"/>
        <v>0</v>
      </c>
      <c r="K171" s="343">
        <f t="shared" si="47"/>
        <v>0</v>
      </c>
      <c r="L171" s="343">
        <f t="shared" si="48"/>
        <v>0</v>
      </c>
      <c r="M171" s="315"/>
      <c r="N171" s="278"/>
      <c r="O171" s="278"/>
      <c r="P171" s="316"/>
      <c r="Q171" s="316"/>
      <c r="R171" s="316"/>
      <c r="S171" s="133"/>
      <c r="T171" s="133"/>
    </row>
    <row r="172" spans="1:20" s="139" customFormat="1" ht="26.4" x14ac:dyDescent="0.3">
      <c r="A172" s="283" t="s">
        <v>168</v>
      </c>
      <c r="B172" s="296" t="s">
        <v>169</v>
      </c>
      <c r="C172" s="275"/>
      <c r="D172" s="275"/>
      <c r="E172" s="278"/>
      <c r="F172" s="278"/>
      <c r="G172" s="278"/>
      <c r="H172" s="278"/>
      <c r="I172" s="278"/>
      <c r="J172" s="343">
        <f t="shared" si="46"/>
        <v>0</v>
      </c>
      <c r="K172" s="343">
        <f t="shared" si="47"/>
        <v>0</v>
      </c>
      <c r="L172" s="343">
        <f t="shared" si="48"/>
        <v>0</v>
      </c>
      <c r="M172" s="314"/>
      <c r="N172" s="299"/>
      <c r="O172" s="299"/>
      <c r="P172" s="317"/>
      <c r="Q172" s="317"/>
      <c r="R172" s="317"/>
      <c r="S172" s="146"/>
      <c r="T172" s="146"/>
    </row>
    <row r="173" spans="1:20" s="139" customFormat="1" ht="15.6" x14ac:dyDescent="0.3">
      <c r="A173" s="283"/>
      <c r="B173" s="296" t="s">
        <v>4</v>
      </c>
      <c r="C173" s="275"/>
      <c r="D173" s="275"/>
      <c r="E173" s="278"/>
      <c r="F173" s="278"/>
      <c r="G173" s="278"/>
      <c r="H173" s="278"/>
      <c r="I173" s="278"/>
      <c r="J173" s="343">
        <f t="shared" si="46"/>
        <v>0</v>
      </c>
      <c r="K173" s="343">
        <f t="shared" si="47"/>
        <v>0</v>
      </c>
      <c r="L173" s="343">
        <f t="shared" si="48"/>
        <v>0</v>
      </c>
      <c r="M173" s="314"/>
      <c r="N173" s="299"/>
      <c r="O173" s="299"/>
      <c r="P173" s="317"/>
      <c r="Q173" s="317"/>
      <c r="R173" s="317"/>
      <c r="S173" s="146"/>
      <c r="T173" s="146"/>
    </row>
    <row r="174" spans="1:20" s="139" customFormat="1" ht="26.4" x14ac:dyDescent="0.3">
      <c r="A174" s="309">
        <v>1</v>
      </c>
      <c r="B174" s="302" t="s">
        <v>293</v>
      </c>
      <c r="C174" s="303" t="s">
        <v>247</v>
      </c>
      <c r="D174" s="303" t="s">
        <v>186</v>
      </c>
      <c r="E174" s="304">
        <v>2</v>
      </c>
      <c r="F174" s="304">
        <v>2</v>
      </c>
      <c r="G174" s="304">
        <v>3</v>
      </c>
      <c r="H174" s="304">
        <v>2</v>
      </c>
      <c r="I174" s="304">
        <v>1</v>
      </c>
      <c r="J174" s="343">
        <f t="shared" si="46"/>
        <v>28800</v>
      </c>
      <c r="K174" s="343">
        <f t="shared" si="47"/>
        <v>46800</v>
      </c>
      <c r="L174" s="343">
        <f t="shared" si="48"/>
        <v>75600</v>
      </c>
      <c r="M174" s="314"/>
      <c r="N174" s="299"/>
      <c r="O174" s="299"/>
      <c r="P174" s="317"/>
      <c r="Q174" s="317">
        <v>2</v>
      </c>
      <c r="R174" s="317">
        <v>1</v>
      </c>
      <c r="S174" s="146"/>
      <c r="T174" s="146"/>
    </row>
    <row r="175" spans="1:20" s="145" customFormat="1" ht="15.6" x14ac:dyDescent="0.3">
      <c r="A175" s="278"/>
      <c r="B175" s="307" t="s">
        <v>173</v>
      </c>
      <c r="C175" s="278"/>
      <c r="D175" s="278"/>
      <c r="E175" s="278"/>
      <c r="F175" s="278"/>
      <c r="G175" s="278"/>
      <c r="H175" s="278"/>
      <c r="I175" s="384"/>
      <c r="J175" s="343">
        <f t="shared" si="46"/>
        <v>0</v>
      </c>
      <c r="K175" s="343">
        <f t="shared" si="47"/>
        <v>0</v>
      </c>
      <c r="L175" s="343">
        <f t="shared" si="48"/>
        <v>0</v>
      </c>
      <c r="M175" s="281"/>
      <c r="N175" s="307"/>
      <c r="O175" s="307"/>
      <c r="P175" s="319"/>
      <c r="Q175" s="319"/>
      <c r="R175" s="319"/>
      <c r="S175" s="147"/>
      <c r="T175" s="147"/>
    </row>
    <row r="176" spans="1:20" s="139" customFormat="1" ht="26.4" x14ac:dyDescent="0.3">
      <c r="A176" s="304">
        <v>1</v>
      </c>
      <c r="B176" s="299" t="s">
        <v>69</v>
      </c>
      <c r="C176" s="303" t="s">
        <v>247</v>
      </c>
      <c r="D176" s="303" t="s">
        <v>186</v>
      </c>
      <c r="E176" s="304">
        <v>2</v>
      </c>
      <c r="F176" s="304">
        <v>2</v>
      </c>
      <c r="G176" s="304">
        <v>3</v>
      </c>
      <c r="H176" s="304">
        <v>2</v>
      </c>
      <c r="I176" s="304">
        <v>1</v>
      </c>
      <c r="J176" s="343">
        <f t="shared" si="46"/>
        <v>28800</v>
      </c>
      <c r="K176" s="343">
        <f t="shared" si="47"/>
        <v>46800</v>
      </c>
      <c r="L176" s="343">
        <f t="shared" si="48"/>
        <v>75600</v>
      </c>
      <c r="M176" s="314"/>
      <c r="N176" s="299"/>
      <c r="O176" s="299"/>
      <c r="P176" s="317"/>
      <c r="Q176" s="317">
        <v>2</v>
      </c>
      <c r="R176" s="317">
        <v>1</v>
      </c>
      <c r="S176" s="146"/>
      <c r="T176" s="146"/>
    </row>
    <row r="177" spans="1:20" s="145" customFormat="1" ht="15.6" x14ac:dyDescent="0.3">
      <c r="A177" s="278"/>
      <c r="B177" s="307" t="s">
        <v>175</v>
      </c>
      <c r="C177" s="278"/>
      <c r="D177" s="278"/>
      <c r="E177" s="278"/>
      <c r="F177" s="278"/>
      <c r="G177" s="278"/>
      <c r="H177" s="278"/>
      <c r="I177" s="384"/>
      <c r="J177" s="343">
        <f t="shared" si="46"/>
        <v>0</v>
      </c>
      <c r="K177" s="343">
        <f t="shared" si="47"/>
        <v>0</v>
      </c>
      <c r="L177" s="343">
        <f t="shared" si="48"/>
        <v>0</v>
      </c>
      <c r="M177" s="281"/>
      <c r="N177" s="307"/>
      <c r="O177" s="307"/>
      <c r="P177" s="319"/>
      <c r="Q177" s="319"/>
      <c r="R177" s="319"/>
      <c r="S177" s="147"/>
      <c r="T177" s="147"/>
    </row>
    <row r="178" spans="1:20" s="139" customFormat="1" ht="26.4" x14ac:dyDescent="0.3">
      <c r="A178" s="304">
        <v>1</v>
      </c>
      <c r="B178" s="299" t="s">
        <v>294</v>
      </c>
      <c r="C178" s="303" t="s">
        <v>247</v>
      </c>
      <c r="D178" s="303" t="s">
        <v>186</v>
      </c>
      <c r="E178" s="304">
        <v>2</v>
      </c>
      <c r="F178" s="304">
        <v>2</v>
      </c>
      <c r="G178" s="304">
        <v>3</v>
      </c>
      <c r="H178" s="304">
        <v>2</v>
      </c>
      <c r="I178" s="304">
        <v>1</v>
      </c>
      <c r="J178" s="343">
        <f t="shared" si="46"/>
        <v>28800</v>
      </c>
      <c r="K178" s="343">
        <f t="shared" si="47"/>
        <v>46800</v>
      </c>
      <c r="L178" s="343">
        <f t="shared" si="48"/>
        <v>75600</v>
      </c>
      <c r="M178" s="314"/>
      <c r="N178" s="299"/>
      <c r="O178" s="299"/>
      <c r="P178" s="317"/>
      <c r="Q178" s="317">
        <v>2</v>
      </c>
      <c r="R178" s="317">
        <v>1</v>
      </c>
      <c r="S178" s="146"/>
      <c r="T178" s="146"/>
    </row>
    <row r="179" spans="1:20" s="145" customFormat="1" ht="15.6" x14ac:dyDescent="0.3">
      <c r="A179" s="278"/>
      <c r="B179" s="307" t="s">
        <v>177</v>
      </c>
      <c r="C179" s="278"/>
      <c r="D179" s="278"/>
      <c r="E179" s="278"/>
      <c r="F179" s="278"/>
      <c r="G179" s="278"/>
      <c r="H179" s="278"/>
      <c r="I179" s="384"/>
      <c r="J179" s="343">
        <f t="shared" si="46"/>
        <v>0</v>
      </c>
      <c r="K179" s="343">
        <f t="shared" si="47"/>
        <v>0</v>
      </c>
      <c r="L179" s="343">
        <f t="shared" si="48"/>
        <v>0</v>
      </c>
      <c r="M179" s="281"/>
      <c r="N179" s="307"/>
      <c r="O179" s="307"/>
      <c r="P179" s="319"/>
      <c r="Q179" s="319"/>
      <c r="R179" s="319"/>
      <c r="S179" s="147"/>
      <c r="T179" s="147"/>
    </row>
    <row r="180" spans="1:20" s="139" customFormat="1" ht="39.6" x14ac:dyDescent="0.3">
      <c r="A180" s="304">
        <v>1</v>
      </c>
      <c r="B180" s="299" t="s">
        <v>295</v>
      </c>
      <c r="C180" s="303" t="s">
        <v>247</v>
      </c>
      <c r="D180" s="303" t="s">
        <v>186</v>
      </c>
      <c r="E180" s="304">
        <v>2</v>
      </c>
      <c r="F180" s="304">
        <v>2</v>
      </c>
      <c r="G180" s="304">
        <v>3</v>
      </c>
      <c r="H180" s="304">
        <v>2</v>
      </c>
      <c r="I180" s="304">
        <v>1</v>
      </c>
      <c r="J180" s="343">
        <f t="shared" si="46"/>
        <v>28800</v>
      </c>
      <c r="K180" s="343">
        <f t="shared" si="47"/>
        <v>46800</v>
      </c>
      <c r="L180" s="343">
        <f t="shared" si="48"/>
        <v>75600</v>
      </c>
      <c r="M180" s="314"/>
      <c r="N180" s="299"/>
      <c r="O180" s="299"/>
      <c r="P180" s="317"/>
      <c r="Q180" s="317">
        <v>2</v>
      </c>
      <c r="R180" s="317">
        <v>1</v>
      </c>
      <c r="S180" s="146"/>
      <c r="T180" s="146"/>
    </row>
    <row r="181" spans="1:20" s="145" customFormat="1" ht="15.6" x14ac:dyDescent="0.3">
      <c r="A181" s="278"/>
      <c r="B181" s="307" t="s">
        <v>192</v>
      </c>
      <c r="C181" s="278"/>
      <c r="D181" s="278"/>
      <c r="E181" s="278"/>
      <c r="F181" s="278"/>
      <c r="G181" s="278"/>
      <c r="H181" s="278"/>
      <c r="I181" s="384"/>
      <c r="J181" s="343">
        <f t="shared" si="46"/>
        <v>0</v>
      </c>
      <c r="K181" s="343">
        <f t="shared" si="47"/>
        <v>0</v>
      </c>
      <c r="L181" s="343">
        <f t="shared" si="48"/>
        <v>0</v>
      </c>
      <c r="M181" s="281"/>
      <c r="N181" s="307"/>
      <c r="O181" s="307"/>
      <c r="P181" s="319"/>
      <c r="Q181" s="319"/>
      <c r="R181" s="319"/>
      <c r="S181" s="147"/>
      <c r="T181" s="147"/>
    </row>
    <row r="182" spans="1:20" s="139" customFormat="1" ht="26.4" x14ac:dyDescent="0.3">
      <c r="A182" s="304">
        <v>1</v>
      </c>
      <c r="B182" s="299" t="s">
        <v>296</v>
      </c>
      <c r="C182" s="304" t="s">
        <v>247</v>
      </c>
      <c r="D182" s="304" t="s">
        <v>186</v>
      </c>
      <c r="E182" s="304">
        <v>3</v>
      </c>
      <c r="F182" s="304">
        <v>3</v>
      </c>
      <c r="G182" s="304">
        <v>3</v>
      </c>
      <c r="H182" s="304">
        <v>2</v>
      </c>
      <c r="I182" s="304">
        <v>1</v>
      </c>
      <c r="J182" s="343">
        <f t="shared" si="46"/>
        <v>43200</v>
      </c>
      <c r="K182" s="343">
        <f t="shared" si="47"/>
        <v>70200</v>
      </c>
      <c r="L182" s="343">
        <f t="shared" si="48"/>
        <v>113400</v>
      </c>
      <c r="M182" s="314"/>
      <c r="N182" s="299"/>
      <c r="O182" s="299"/>
      <c r="P182" s="317"/>
      <c r="Q182" s="317">
        <v>4</v>
      </c>
      <c r="R182" s="317">
        <v>2</v>
      </c>
      <c r="S182" s="146"/>
      <c r="T182" s="146"/>
    </row>
    <row r="183" spans="1:20" s="152" customFormat="1" ht="26.4" x14ac:dyDescent="0.25">
      <c r="A183" s="283">
        <v>48</v>
      </c>
      <c r="B183" s="283" t="s">
        <v>297</v>
      </c>
      <c r="C183" s="288"/>
      <c r="D183" s="288"/>
      <c r="E183" s="283"/>
      <c r="F183" s="283"/>
      <c r="G183" s="283"/>
      <c r="H183" s="283"/>
      <c r="I183" s="283"/>
      <c r="J183" s="343">
        <f t="shared" si="46"/>
        <v>0</v>
      </c>
      <c r="K183" s="343">
        <f t="shared" si="47"/>
        <v>0</v>
      </c>
      <c r="L183" s="343">
        <f t="shared" si="48"/>
        <v>0</v>
      </c>
      <c r="M183" s="315"/>
      <c r="N183" s="278"/>
      <c r="O183" s="278"/>
      <c r="P183" s="299"/>
      <c r="Q183" s="299"/>
      <c r="R183" s="299"/>
      <c r="S183" s="138"/>
      <c r="T183" s="138"/>
    </row>
    <row r="184" spans="1:20" s="152" customFormat="1" ht="26.4" x14ac:dyDescent="0.25">
      <c r="A184" s="283" t="s">
        <v>168</v>
      </c>
      <c r="B184" s="296" t="s">
        <v>169</v>
      </c>
      <c r="C184" s="275"/>
      <c r="D184" s="275"/>
      <c r="E184" s="278"/>
      <c r="F184" s="278"/>
      <c r="G184" s="278"/>
      <c r="H184" s="278"/>
      <c r="I184" s="278"/>
      <c r="J184" s="343">
        <f t="shared" si="46"/>
        <v>0</v>
      </c>
      <c r="K184" s="343">
        <f t="shared" si="47"/>
        <v>0</v>
      </c>
      <c r="L184" s="343">
        <f t="shared" si="48"/>
        <v>0</v>
      </c>
      <c r="M184" s="314"/>
      <c r="N184" s="299"/>
      <c r="O184" s="299"/>
      <c r="P184" s="299"/>
      <c r="Q184" s="299"/>
      <c r="R184" s="299"/>
      <c r="S184" s="138"/>
      <c r="T184" s="138"/>
    </row>
    <row r="185" spans="1:20" s="152" customFormat="1" ht="13.2" x14ac:dyDescent="0.25">
      <c r="A185" s="283"/>
      <c r="B185" s="296" t="s">
        <v>4</v>
      </c>
      <c r="C185" s="275"/>
      <c r="D185" s="275"/>
      <c r="E185" s="278"/>
      <c r="F185" s="278"/>
      <c r="G185" s="278"/>
      <c r="H185" s="278"/>
      <c r="I185" s="278"/>
      <c r="J185" s="343">
        <f t="shared" si="46"/>
        <v>0</v>
      </c>
      <c r="K185" s="343">
        <f t="shared" si="47"/>
        <v>0</v>
      </c>
      <c r="L185" s="343">
        <f t="shared" si="48"/>
        <v>0</v>
      </c>
      <c r="M185" s="314"/>
      <c r="N185" s="299"/>
      <c r="O185" s="299"/>
      <c r="P185" s="299"/>
      <c r="Q185" s="299"/>
      <c r="R185" s="299"/>
      <c r="S185" s="138"/>
      <c r="T185" s="138"/>
    </row>
    <row r="186" spans="1:20" s="152" customFormat="1" ht="36.75" customHeight="1" x14ac:dyDescent="0.25">
      <c r="A186" s="344">
        <v>1</v>
      </c>
      <c r="B186" s="350" t="s">
        <v>298</v>
      </c>
      <c r="C186" s="693" t="s">
        <v>277</v>
      </c>
      <c r="D186" s="350"/>
      <c r="E186" s="348">
        <v>1</v>
      </c>
      <c r="F186" s="348">
        <v>1</v>
      </c>
      <c r="G186" s="348">
        <v>6</v>
      </c>
      <c r="H186" s="348">
        <v>4</v>
      </c>
      <c r="I186" s="348">
        <v>2</v>
      </c>
      <c r="J186" s="343">
        <f t="shared" si="46"/>
        <v>28800</v>
      </c>
      <c r="K186" s="343">
        <f t="shared" si="47"/>
        <v>37800</v>
      </c>
      <c r="L186" s="343">
        <f t="shared" si="48"/>
        <v>66600</v>
      </c>
      <c r="M186" s="345"/>
      <c r="N186" s="346"/>
      <c r="O186" s="346"/>
      <c r="P186" s="346"/>
      <c r="Q186" s="346"/>
      <c r="R186" s="346"/>
      <c r="S186" s="164"/>
      <c r="T186" s="164"/>
    </row>
    <row r="187" spans="1:20" s="152" customFormat="1" ht="34.5" customHeight="1" x14ac:dyDescent="0.25">
      <c r="A187" s="283">
        <v>2</v>
      </c>
      <c r="B187" s="350" t="s">
        <v>299</v>
      </c>
      <c r="C187" s="704"/>
      <c r="D187" s="275"/>
      <c r="E187" s="348">
        <v>1</v>
      </c>
      <c r="F187" s="348">
        <v>1</v>
      </c>
      <c r="G187" s="348">
        <v>6</v>
      </c>
      <c r="H187" s="348">
        <v>4</v>
      </c>
      <c r="I187" s="348">
        <v>2</v>
      </c>
      <c r="J187" s="343">
        <f t="shared" si="46"/>
        <v>28800</v>
      </c>
      <c r="K187" s="343">
        <f t="shared" si="47"/>
        <v>37800</v>
      </c>
      <c r="L187" s="343">
        <f t="shared" si="48"/>
        <v>66600</v>
      </c>
      <c r="M187" s="314"/>
      <c r="N187" s="299"/>
      <c r="O187" s="299"/>
      <c r="P187" s="299"/>
      <c r="Q187" s="299"/>
      <c r="R187" s="299"/>
      <c r="S187" s="138"/>
      <c r="T187" s="138"/>
    </row>
    <row r="188" spans="1:20" s="152" customFormat="1" ht="37.5" customHeight="1" x14ac:dyDescent="0.25">
      <c r="A188" s="309">
        <v>3</v>
      </c>
      <c r="B188" s="306" t="s">
        <v>300</v>
      </c>
      <c r="C188" s="704"/>
      <c r="D188" s="703"/>
      <c r="E188" s="303">
        <v>1</v>
      </c>
      <c r="F188" s="303">
        <v>2</v>
      </c>
      <c r="G188" s="303">
        <v>2</v>
      </c>
      <c r="H188" s="303">
        <v>2</v>
      </c>
      <c r="I188" s="392"/>
      <c r="J188" s="343">
        <f t="shared" si="46"/>
        <v>9600</v>
      </c>
      <c r="K188" s="343">
        <f t="shared" si="47"/>
        <v>37200</v>
      </c>
      <c r="L188" s="343">
        <f t="shared" si="48"/>
        <v>46800</v>
      </c>
      <c r="M188" s="318"/>
      <c r="N188" s="299"/>
      <c r="O188" s="299"/>
      <c r="P188" s="299"/>
      <c r="Q188" s="299">
        <v>2</v>
      </c>
      <c r="R188" s="299"/>
      <c r="S188" s="138"/>
      <c r="T188" s="138"/>
    </row>
    <row r="189" spans="1:20" s="152" customFormat="1" ht="24.75" customHeight="1" x14ac:dyDescent="0.25">
      <c r="A189" s="309">
        <v>4</v>
      </c>
      <c r="B189" s="334" t="s">
        <v>301</v>
      </c>
      <c r="C189" s="694"/>
      <c r="D189" s="703"/>
      <c r="E189" s="303">
        <v>1</v>
      </c>
      <c r="F189" s="303">
        <v>1</v>
      </c>
      <c r="G189" s="303">
        <v>6</v>
      </c>
      <c r="H189" s="303">
        <v>6</v>
      </c>
      <c r="I189" s="392"/>
      <c r="J189" s="343">
        <f t="shared" si="46"/>
        <v>28800</v>
      </c>
      <c r="K189" s="343">
        <f t="shared" si="47"/>
        <v>37800</v>
      </c>
      <c r="L189" s="343">
        <f t="shared" si="48"/>
        <v>66600</v>
      </c>
      <c r="M189" s="318"/>
      <c r="N189" s="299"/>
      <c r="O189" s="299"/>
      <c r="P189" s="299"/>
      <c r="Q189" s="299"/>
      <c r="R189" s="299"/>
      <c r="S189" s="138"/>
      <c r="T189" s="138"/>
    </row>
    <row r="190" spans="1:20" s="152" customFormat="1" ht="20.25" customHeight="1" x14ac:dyDescent="0.25">
      <c r="A190" s="304">
        <v>5</v>
      </c>
      <c r="B190" s="330" t="s">
        <v>302</v>
      </c>
      <c r="C190" s="693" t="s">
        <v>303</v>
      </c>
      <c r="D190" s="703"/>
      <c r="E190" s="303">
        <v>2</v>
      </c>
      <c r="F190" s="303">
        <v>2</v>
      </c>
      <c r="G190" s="303">
        <v>3</v>
      </c>
      <c r="H190" s="303">
        <v>2</v>
      </c>
      <c r="I190" s="349">
        <v>1</v>
      </c>
      <c r="J190" s="343">
        <f t="shared" si="46"/>
        <v>28800</v>
      </c>
      <c r="K190" s="343">
        <f t="shared" si="47"/>
        <v>46800</v>
      </c>
      <c r="L190" s="343">
        <f t="shared" si="48"/>
        <v>75600</v>
      </c>
      <c r="M190" s="318"/>
      <c r="N190" s="299"/>
      <c r="O190" s="299"/>
      <c r="P190" s="299"/>
      <c r="Q190" s="299">
        <v>2</v>
      </c>
      <c r="R190" s="299">
        <v>1</v>
      </c>
      <c r="S190" s="138"/>
      <c r="T190" s="138"/>
    </row>
    <row r="191" spans="1:20" s="165" customFormat="1" ht="40.5" customHeight="1" x14ac:dyDescent="0.25">
      <c r="A191" s="304">
        <v>6</v>
      </c>
      <c r="B191" s="350" t="s">
        <v>304</v>
      </c>
      <c r="C191" s="694"/>
      <c r="D191" s="703"/>
      <c r="E191" s="303">
        <v>2</v>
      </c>
      <c r="F191" s="303">
        <v>2</v>
      </c>
      <c r="G191" s="303">
        <v>3</v>
      </c>
      <c r="H191" s="303">
        <v>2</v>
      </c>
      <c r="I191" s="349">
        <v>1</v>
      </c>
      <c r="J191" s="343">
        <f t="shared" si="46"/>
        <v>28800</v>
      </c>
      <c r="K191" s="343">
        <f t="shared" si="47"/>
        <v>46800</v>
      </c>
      <c r="L191" s="343">
        <f t="shared" si="48"/>
        <v>75600</v>
      </c>
      <c r="M191" s="318"/>
      <c r="N191" s="299"/>
      <c r="O191" s="299"/>
      <c r="P191" s="299"/>
      <c r="Q191" s="299">
        <v>2</v>
      </c>
      <c r="R191" s="299">
        <v>1</v>
      </c>
      <c r="S191" s="138"/>
      <c r="T191" s="138"/>
    </row>
    <row r="192" spans="1:20" s="165" customFormat="1" ht="24.75" customHeight="1" x14ac:dyDescent="0.25">
      <c r="A192" s="304">
        <v>7</v>
      </c>
      <c r="B192" s="393" t="s">
        <v>305</v>
      </c>
      <c r="C192" s="693" t="s">
        <v>193</v>
      </c>
      <c r="D192" s="301"/>
      <c r="E192" s="303">
        <v>1</v>
      </c>
      <c r="F192" s="303">
        <v>1</v>
      </c>
      <c r="G192" s="303">
        <v>1</v>
      </c>
      <c r="H192" s="303">
        <v>1</v>
      </c>
      <c r="I192" s="392"/>
      <c r="J192" s="343">
        <f t="shared" si="46"/>
        <v>4800</v>
      </c>
      <c r="K192" s="343">
        <f t="shared" si="47"/>
        <v>13800</v>
      </c>
      <c r="L192" s="343">
        <f t="shared" si="48"/>
        <v>18600</v>
      </c>
      <c r="M192" s="318"/>
      <c r="N192" s="299"/>
      <c r="O192" s="299"/>
      <c r="P192" s="299"/>
      <c r="Q192" s="299"/>
      <c r="R192" s="299"/>
      <c r="S192" s="138"/>
      <c r="T192" s="138"/>
    </row>
    <row r="193" spans="1:20" s="165" customFormat="1" ht="24.75" customHeight="1" x14ac:dyDescent="0.25">
      <c r="A193" s="304">
        <v>8</v>
      </c>
      <c r="B193" s="330" t="s">
        <v>306</v>
      </c>
      <c r="C193" s="704"/>
      <c r="D193" s="301"/>
      <c r="E193" s="303">
        <v>1</v>
      </c>
      <c r="F193" s="303">
        <v>1</v>
      </c>
      <c r="G193" s="303">
        <v>1</v>
      </c>
      <c r="H193" s="303">
        <v>1</v>
      </c>
      <c r="I193" s="392"/>
      <c r="J193" s="343">
        <f t="shared" si="46"/>
        <v>4800</v>
      </c>
      <c r="K193" s="343">
        <f t="shared" si="47"/>
        <v>13800</v>
      </c>
      <c r="L193" s="343">
        <f t="shared" si="48"/>
        <v>18600</v>
      </c>
      <c r="M193" s="318"/>
      <c r="N193" s="299"/>
      <c r="O193" s="299"/>
      <c r="P193" s="299"/>
      <c r="Q193" s="299"/>
      <c r="R193" s="299"/>
      <c r="S193" s="138"/>
      <c r="T193" s="138"/>
    </row>
    <row r="194" spans="1:20" s="165" customFormat="1" ht="24.75" customHeight="1" x14ac:dyDescent="0.25">
      <c r="A194" s="304">
        <v>9</v>
      </c>
      <c r="B194" s="330" t="s">
        <v>307</v>
      </c>
      <c r="C194" s="694"/>
      <c r="D194" s="301"/>
      <c r="E194" s="303">
        <v>1</v>
      </c>
      <c r="F194" s="303">
        <v>1</v>
      </c>
      <c r="G194" s="303">
        <v>1</v>
      </c>
      <c r="H194" s="303">
        <v>1</v>
      </c>
      <c r="I194" s="392"/>
      <c r="J194" s="343">
        <f t="shared" si="46"/>
        <v>4800</v>
      </c>
      <c r="K194" s="343">
        <f t="shared" si="47"/>
        <v>13800</v>
      </c>
      <c r="L194" s="343">
        <f t="shared" si="48"/>
        <v>18600</v>
      </c>
      <c r="M194" s="318"/>
      <c r="N194" s="299"/>
      <c r="O194" s="299"/>
      <c r="P194" s="299"/>
      <c r="Q194" s="299"/>
      <c r="R194" s="299"/>
      <c r="S194" s="138"/>
      <c r="T194" s="138"/>
    </row>
    <row r="195" spans="1:20" s="152" customFormat="1" ht="20.25" customHeight="1" x14ac:dyDescent="0.25">
      <c r="A195" s="304">
        <v>10</v>
      </c>
      <c r="B195" s="306" t="s">
        <v>308</v>
      </c>
      <c r="C195" s="304" t="s">
        <v>309</v>
      </c>
      <c r="D195" s="303"/>
      <c r="E195" s="303">
        <v>2</v>
      </c>
      <c r="F195" s="303">
        <v>2</v>
      </c>
      <c r="G195" s="303">
        <v>3</v>
      </c>
      <c r="H195" s="303">
        <v>3</v>
      </c>
      <c r="I195" s="392"/>
      <c r="J195" s="343">
        <f t="shared" si="46"/>
        <v>28800</v>
      </c>
      <c r="K195" s="343">
        <f t="shared" si="47"/>
        <v>46800</v>
      </c>
      <c r="L195" s="343">
        <f t="shared" si="48"/>
        <v>75600</v>
      </c>
      <c r="M195" s="318" t="s">
        <v>310</v>
      </c>
      <c r="N195" s="299"/>
      <c r="O195" s="299"/>
      <c r="P195" s="299"/>
      <c r="Q195" s="299">
        <v>3</v>
      </c>
      <c r="R195" s="299"/>
      <c r="S195" s="138"/>
      <c r="T195" s="138"/>
    </row>
    <row r="196" spans="1:20" s="152" customFormat="1" ht="20.25" customHeight="1" x14ac:dyDescent="0.25">
      <c r="A196" s="304">
        <v>11</v>
      </c>
      <c r="B196" s="306" t="s">
        <v>311</v>
      </c>
      <c r="C196" s="304" t="s">
        <v>312</v>
      </c>
      <c r="D196" s="303"/>
      <c r="E196" s="303">
        <v>1</v>
      </c>
      <c r="F196" s="303">
        <v>2</v>
      </c>
      <c r="G196" s="303">
        <v>3</v>
      </c>
      <c r="H196" s="303">
        <v>3</v>
      </c>
      <c r="I196" s="392"/>
      <c r="J196" s="343">
        <f t="shared" si="46"/>
        <v>14400</v>
      </c>
      <c r="K196" s="343">
        <f t="shared" si="47"/>
        <v>46800</v>
      </c>
      <c r="L196" s="343">
        <f t="shared" si="48"/>
        <v>61200</v>
      </c>
      <c r="M196" s="318"/>
      <c r="N196" s="299"/>
      <c r="O196" s="299"/>
      <c r="P196" s="299"/>
      <c r="Q196" s="299">
        <v>3</v>
      </c>
      <c r="R196" s="299"/>
      <c r="S196" s="138"/>
      <c r="T196" s="138"/>
    </row>
    <row r="197" spans="1:20" s="166" customFormat="1" ht="13.2" x14ac:dyDescent="0.25">
      <c r="A197" s="278"/>
      <c r="B197" s="307" t="s">
        <v>173</v>
      </c>
      <c r="C197" s="278"/>
      <c r="D197" s="278"/>
      <c r="E197" s="278"/>
      <c r="F197" s="278"/>
      <c r="G197" s="278"/>
      <c r="H197" s="278"/>
      <c r="I197" s="394"/>
      <c r="J197" s="343">
        <f t="shared" si="46"/>
        <v>0</v>
      </c>
      <c r="K197" s="343">
        <f t="shared" si="47"/>
        <v>0</v>
      </c>
      <c r="L197" s="343">
        <f t="shared" si="48"/>
        <v>0</v>
      </c>
      <c r="M197" s="281"/>
      <c r="N197" s="307"/>
      <c r="O197" s="307"/>
      <c r="P197" s="307"/>
      <c r="Q197" s="307"/>
      <c r="R197" s="307"/>
      <c r="S197" s="144"/>
      <c r="T197" s="144"/>
    </row>
    <row r="198" spans="1:20" s="166" customFormat="1" ht="30.75" customHeight="1" x14ac:dyDescent="0.25">
      <c r="A198" s="278">
        <v>1</v>
      </c>
      <c r="B198" s="330" t="s">
        <v>302</v>
      </c>
      <c r="C198" s="303" t="s">
        <v>193</v>
      </c>
      <c r="D198" s="278"/>
      <c r="E198" s="349">
        <v>2</v>
      </c>
      <c r="F198" s="349">
        <v>2</v>
      </c>
      <c r="G198" s="349">
        <v>3</v>
      </c>
      <c r="H198" s="349">
        <v>2</v>
      </c>
      <c r="I198" s="349">
        <v>1</v>
      </c>
      <c r="J198" s="343">
        <f t="shared" si="46"/>
        <v>28800</v>
      </c>
      <c r="K198" s="343">
        <f t="shared" si="47"/>
        <v>46800</v>
      </c>
      <c r="L198" s="343">
        <f t="shared" si="48"/>
        <v>75600</v>
      </c>
      <c r="M198" s="281"/>
      <c r="N198" s="307"/>
      <c r="O198" s="307"/>
      <c r="P198" s="307"/>
      <c r="Q198" s="307">
        <v>2</v>
      </c>
      <c r="R198" s="307">
        <v>1</v>
      </c>
      <c r="S198" s="144"/>
      <c r="T198" s="144"/>
    </row>
    <row r="199" spans="1:20" s="166" customFormat="1" ht="40.5" customHeight="1" x14ac:dyDescent="0.25">
      <c r="A199" s="278">
        <v>2</v>
      </c>
      <c r="B199" s="350" t="s">
        <v>304</v>
      </c>
      <c r="C199" s="705" t="s">
        <v>313</v>
      </c>
      <c r="D199" s="278"/>
      <c r="E199" s="349">
        <v>2</v>
      </c>
      <c r="F199" s="349">
        <v>2</v>
      </c>
      <c r="G199" s="349">
        <v>3</v>
      </c>
      <c r="H199" s="349">
        <v>2</v>
      </c>
      <c r="I199" s="349">
        <v>1</v>
      </c>
      <c r="J199" s="343">
        <f t="shared" si="46"/>
        <v>28800</v>
      </c>
      <c r="K199" s="343">
        <f t="shared" si="47"/>
        <v>46800</v>
      </c>
      <c r="L199" s="343">
        <f t="shared" si="48"/>
        <v>75600</v>
      </c>
      <c r="M199" s="281"/>
      <c r="N199" s="307"/>
      <c r="O199" s="307"/>
      <c r="P199" s="307"/>
      <c r="Q199" s="307">
        <v>2</v>
      </c>
      <c r="R199" s="307">
        <v>1</v>
      </c>
      <c r="S199" s="144"/>
      <c r="T199" s="144"/>
    </row>
    <row r="200" spans="1:20" s="166" customFormat="1" ht="22.5" customHeight="1" x14ac:dyDescent="0.25">
      <c r="A200" s="278">
        <v>3</v>
      </c>
      <c r="B200" s="330" t="s">
        <v>314</v>
      </c>
      <c r="C200" s="706"/>
      <c r="D200" s="278"/>
      <c r="E200" s="349">
        <v>2</v>
      </c>
      <c r="F200" s="349">
        <v>2</v>
      </c>
      <c r="G200" s="349">
        <v>6</v>
      </c>
      <c r="H200" s="349">
        <v>4</v>
      </c>
      <c r="I200" s="349">
        <v>2</v>
      </c>
      <c r="J200" s="343">
        <f t="shared" si="46"/>
        <v>57600</v>
      </c>
      <c r="K200" s="343">
        <f t="shared" si="47"/>
        <v>75600</v>
      </c>
      <c r="L200" s="343">
        <f t="shared" si="48"/>
        <v>133200</v>
      </c>
      <c r="M200" s="281"/>
      <c r="N200" s="307"/>
      <c r="O200" s="307"/>
      <c r="P200" s="307"/>
      <c r="Q200" s="299">
        <v>4</v>
      </c>
      <c r="R200" s="299">
        <v>2</v>
      </c>
      <c r="S200" s="144"/>
      <c r="T200" s="144"/>
    </row>
    <row r="201" spans="1:20" s="152" customFormat="1" ht="17.25" customHeight="1" x14ac:dyDescent="0.25">
      <c r="A201" s="304">
        <v>4</v>
      </c>
      <c r="B201" s="330" t="s">
        <v>315</v>
      </c>
      <c r="C201" s="693" t="s">
        <v>247</v>
      </c>
      <c r="D201" s="304"/>
      <c r="E201" s="349">
        <v>2</v>
      </c>
      <c r="F201" s="349">
        <v>2</v>
      </c>
      <c r="G201" s="349">
        <v>6</v>
      </c>
      <c r="H201" s="349">
        <v>4</v>
      </c>
      <c r="I201" s="349">
        <v>2</v>
      </c>
      <c r="J201" s="343">
        <f t="shared" si="46"/>
        <v>57600</v>
      </c>
      <c r="K201" s="343">
        <f t="shared" si="47"/>
        <v>75600</v>
      </c>
      <c r="L201" s="343">
        <f t="shared" si="48"/>
        <v>133200</v>
      </c>
      <c r="M201" s="314"/>
      <c r="N201" s="299"/>
      <c r="O201" s="299"/>
      <c r="P201" s="299"/>
      <c r="Q201" s="299">
        <v>4</v>
      </c>
      <c r="R201" s="299">
        <v>2</v>
      </c>
      <c r="S201" s="138"/>
      <c r="T201" s="138"/>
    </row>
    <row r="202" spans="1:20" s="152" customFormat="1" ht="13.2" x14ac:dyDescent="0.25">
      <c r="A202" s="304">
        <v>5</v>
      </c>
      <c r="B202" s="330" t="s">
        <v>316</v>
      </c>
      <c r="C202" s="704"/>
      <c r="D202" s="304"/>
      <c r="E202" s="349">
        <v>2</v>
      </c>
      <c r="F202" s="349">
        <v>2</v>
      </c>
      <c r="G202" s="349">
        <v>6</v>
      </c>
      <c r="H202" s="349">
        <v>4</v>
      </c>
      <c r="I202" s="349">
        <v>2</v>
      </c>
      <c r="J202" s="343">
        <f t="shared" si="46"/>
        <v>57600</v>
      </c>
      <c r="K202" s="343">
        <f t="shared" si="47"/>
        <v>75600</v>
      </c>
      <c r="L202" s="343">
        <f t="shared" si="48"/>
        <v>133200</v>
      </c>
      <c r="M202" s="314"/>
      <c r="N202" s="299"/>
      <c r="O202" s="299"/>
      <c r="P202" s="299"/>
      <c r="Q202" s="299">
        <v>4</v>
      </c>
      <c r="R202" s="299">
        <v>2</v>
      </c>
      <c r="S202" s="138"/>
      <c r="T202" s="138"/>
    </row>
    <row r="203" spans="1:20" s="152" customFormat="1" ht="13.2" x14ac:dyDescent="0.25">
      <c r="A203" s="304">
        <v>6</v>
      </c>
      <c r="B203" s="330" t="s">
        <v>317</v>
      </c>
      <c r="C203" s="704"/>
      <c r="D203" s="304"/>
      <c r="E203" s="304">
        <v>2</v>
      </c>
      <c r="F203" s="304">
        <v>3</v>
      </c>
      <c r="G203" s="304">
        <v>3</v>
      </c>
      <c r="H203" s="304">
        <v>2</v>
      </c>
      <c r="I203" s="349">
        <v>1</v>
      </c>
      <c r="J203" s="343">
        <f t="shared" si="46"/>
        <v>28800</v>
      </c>
      <c r="K203" s="343">
        <f t="shared" si="47"/>
        <v>70200</v>
      </c>
      <c r="L203" s="343">
        <f t="shared" si="48"/>
        <v>99000</v>
      </c>
      <c r="M203" s="314"/>
      <c r="N203" s="299"/>
      <c r="O203" s="299"/>
      <c r="P203" s="299"/>
      <c r="Q203" s="299">
        <v>2</v>
      </c>
      <c r="R203" s="299">
        <v>2</v>
      </c>
      <c r="S203" s="138"/>
      <c r="T203" s="138"/>
    </row>
    <row r="204" spans="1:20" s="152" customFormat="1" ht="13.2" x14ac:dyDescent="0.25">
      <c r="A204" s="304">
        <v>7</v>
      </c>
      <c r="B204" s="299" t="s">
        <v>318</v>
      </c>
      <c r="C204" s="704"/>
      <c r="D204" s="304"/>
      <c r="E204" s="304">
        <v>2</v>
      </c>
      <c r="F204" s="304">
        <v>2</v>
      </c>
      <c r="G204" s="304">
        <v>2</v>
      </c>
      <c r="H204" s="304">
        <v>2</v>
      </c>
      <c r="I204" s="349">
        <v>1</v>
      </c>
      <c r="J204" s="343">
        <f t="shared" si="46"/>
        <v>19200</v>
      </c>
      <c r="K204" s="343">
        <f t="shared" si="47"/>
        <v>37200</v>
      </c>
      <c r="L204" s="343">
        <f t="shared" si="48"/>
        <v>56400</v>
      </c>
      <c r="M204" s="314"/>
      <c r="N204" s="299"/>
      <c r="O204" s="299"/>
      <c r="P204" s="299"/>
      <c r="Q204" s="299">
        <v>2</v>
      </c>
      <c r="R204" s="299">
        <v>1</v>
      </c>
      <c r="S204" s="138"/>
      <c r="T204" s="138"/>
    </row>
    <row r="205" spans="1:20" s="152" customFormat="1" ht="13.2" x14ac:dyDescent="0.25">
      <c r="A205" s="304">
        <v>8</v>
      </c>
      <c r="B205" s="306" t="s">
        <v>319</v>
      </c>
      <c r="C205" s="704"/>
      <c r="D205" s="304"/>
      <c r="E205" s="304">
        <v>1</v>
      </c>
      <c r="F205" s="304">
        <v>1</v>
      </c>
      <c r="G205" s="304">
        <v>6</v>
      </c>
      <c r="H205" s="304">
        <v>6</v>
      </c>
      <c r="I205" s="395"/>
      <c r="J205" s="343">
        <f t="shared" si="46"/>
        <v>28800</v>
      </c>
      <c r="K205" s="343">
        <f t="shared" si="47"/>
        <v>37800</v>
      </c>
      <c r="L205" s="343">
        <f t="shared" si="48"/>
        <v>66600</v>
      </c>
      <c r="M205" s="314"/>
      <c r="N205" s="299"/>
      <c r="O205" s="299"/>
      <c r="P205" s="299"/>
      <c r="Q205" s="299"/>
      <c r="R205" s="299"/>
      <c r="S205" s="138"/>
      <c r="T205" s="138"/>
    </row>
    <row r="206" spans="1:20" s="152" customFormat="1" ht="13.2" x14ac:dyDescent="0.25">
      <c r="A206" s="304">
        <v>9</v>
      </c>
      <c r="B206" s="330" t="s">
        <v>320</v>
      </c>
      <c r="C206" s="704"/>
      <c r="D206" s="304"/>
      <c r="E206" s="303">
        <v>1</v>
      </c>
      <c r="F206" s="303">
        <v>1</v>
      </c>
      <c r="G206" s="303">
        <v>6</v>
      </c>
      <c r="H206" s="303">
        <v>6</v>
      </c>
      <c r="I206" s="395"/>
      <c r="J206" s="343">
        <f t="shared" si="46"/>
        <v>28800</v>
      </c>
      <c r="K206" s="343">
        <f t="shared" si="47"/>
        <v>37800</v>
      </c>
      <c r="L206" s="343">
        <f t="shared" si="48"/>
        <v>66600</v>
      </c>
      <c r="M206" s="314"/>
      <c r="N206" s="299"/>
      <c r="O206" s="299"/>
      <c r="P206" s="299"/>
      <c r="Q206" s="299"/>
      <c r="R206" s="299"/>
      <c r="S206" s="138"/>
      <c r="T206" s="138"/>
    </row>
    <row r="207" spans="1:20" s="152" customFormat="1" ht="13.2" x14ac:dyDescent="0.25">
      <c r="A207" s="304">
        <v>10</v>
      </c>
      <c r="B207" s="330" t="s">
        <v>321</v>
      </c>
      <c r="C207" s="704"/>
      <c r="D207" s="304"/>
      <c r="E207" s="303">
        <v>1</v>
      </c>
      <c r="F207" s="303">
        <v>1</v>
      </c>
      <c r="G207" s="303">
        <v>1</v>
      </c>
      <c r="H207" s="303">
        <v>1</v>
      </c>
      <c r="I207" s="395"/>
      <c r="J207" s="343">
        <f t="shared" si="46"/>
        <v>4800</v>
      </c>
      <c r="K207" s="343">
        <f t="shared" si="47"/>
        <v>13800</v>
      </c>
      <c r="L207" s="343">
        <f t="shared" si="48"/>
        <v>18600</v>
      </c>
      <c r="M207" s="314"/>
      <c r="N207" s="299"/>
      <c r="O207" s="299"/>
      <c r="P207" s="299"/>
      <c r="Q207" s="299"/>
      <c r="R207" s="299"/>
      <c r="S207" s="138"/>
      <c r="T207" s="138"/>
    </row>
    <row r="208" spans="1:20" s="152" customFormat="1" ht="13.2" x14ac:dyDescent="0.25">
      <c r="A208" s="304">
        <v>11</v>
      </c>
      <c r="B208" s="330" t="s">
        <v>322</v>
      </c>
      <c r="C208" s="704"/>
      <c r="D208" s="304"/>
      <c r="E208" s="304">
        <v>1</v>
      </c>
      <c r="F208" s="304">
        <v>1</v>
      </c>
      <c r="G208" s="304">
        <v>1</v>
      </c>
      <c r="H208" s="304">
        <v>1</v>
      </c>
      <c r="I208" s="395"/>
      <c r="J208" s="343">
        <f t="shared" si="46"/>
        <v>4800</v>
      </c>
      <c r="K208" s="343">
        <f t="shared" si="47"/>
        <v>13800</v>
      </c>
      <c r="L208" s="343">
        <f t="shared" si="48"/>
        <v>18600</v>
      </c>
      <c r="M208" s="314"/>
      <c r="N208" s="299"/>
      <c r="O208" s="299"/>
      <c r="P208" s="299"/>
      <c r="Q208" s="299"/>
      <c r="R208" s="299"/>
      <c r="S208" s="138"/>
      <c r="T208" s="138"/>
    </row>
    <row r="209" spans="1:20" s="152" customFormat="1" ht="26.4" x14ac:dyDescent="0.25">
      <c r="A209" s="304">
        <v>12</v>
      </c>
      <c r="B209" s="350" t="s">
        <v>323</v>
      </c>
      <c r="C209" s="694"/>
      <c r="D209" s="304"/>
      <c r="E209" s="304">
        <v>1</v>
      </c>
      <c r="F209" s="304">
        <v>2</v>
      </c>
      <c r="G209" s="304">
        <v>1</v>
      </c>
      <c r="H209" s="304">
        <v>1</v>
      </c>
      <c r="I209" s="395"/>
      <c r="J209" s="343">
        <f t="shared" si="46"/>
        <v>4800</v>
      </c>
      <c r="K209" s="343">
        <f t="shared" si="47"/>
        <v>27600</v>
      </c>
      <c r="L209" s="343">
        <f t="shared" si="48"/>
        <v>32400</v>
      </c>
      <c r="M209" s="314"/>
      <c r="N209" s="299"/>
      <c r="O209" s="299"/>
      <c r="P209" s="299"/>
      <c r="Q209" s="299">
        <v>1</v>
      </c>
      <c r="R209" s="299"/>
      <c r="S209" s="138"/>
      <c r="T209" s="138"/>
    </row>
    <row r="210" spans="1:20" s="165" customFormat="1" ht="39" customHeight="1" x14ac:dyDescent="0.25">
      <c r="A210" s="304">
        <v>13</v>
      </c>
      <c r="B210" s="299" t="s">
        <v>324</v>
      </c>
      <c r="C210" s="303" t="s">
        <v>309</v>
      </c>
      <c r="D210" s="304"/>
      <c r="E210" s="304">
        <v>1</v>
      </c>
      <c r="F210" s="304">
        <v>2</v>
      </c>
      <c r="G210" s="304">
        <v>1</v>
      </c>
      <c r="H210" s="304">
        <v>1</v>
      </c>
      <c r="I210" s="395"/>
      <c r="J210" s="343">
        <f t="shared" si="46"/>
        <v>4800</v>
      </c>
      <c r="K210" s="343">
        <f t="shared" si="47"/>
        <v>27600</v>
      </c>
      <c r="L210" s="343">
        <f t="shared" si="48"/>
        <v>32400</v>
      </c>
      <c r="M210" s="314" t="s">
        <v>310</v>
      </c>
      <c r="N210" s="299"/>
      <c r="O210" s="299"/>
      <c r="P210" s="299"/>
      <c r="Q210" s="299">
        <v>1</v>
      </c>
      <c r="R210" s="299"/>
      <c r="S210" s="138"/>
      <c r="T210" s="138"/>
    </row>
    <row r="211" spans="1:20" s="166" customFormat="1" ht="13.2" x14ac:dyDescent="0.25">
      <c r="A211" s="278"/>
      <c r="B211" s="307" t="s">
        <v>175</v>
      </c>
      <c r="C211" s="278"/>
      <c r="D211" s="278"/>
      <c r="E211" s="278"/>
      <c r="F211" s="278"/>
      <c r="G211" s="278"/>
      <c r="H211" s="278"/>
      <c r="I211" s="394"/>
      <c r="J211" s="343">
        <f t="shared" si="46"/>
        <v>0</v>
      </c>
      <c r="K211" s="343">
        <f t="shared" si="47"/>
        <v>0</v>
      </c>
      <c r="L211" s="343">
        <f t="shared" si="48"/>
        <v>0</v>
      </c>
      <c r="M211" s="281"/>
      <c r="N211" s="307"/>
      <c r="O211" s="307"/>
      <c r="P211" s="307"/>
      <c r="Q211" s="307"/>
      <c r="R211" s="307"/>
      <c r="S211" s="144"/>
      <c r="T211" s="144"/>
    </row>
    <row r="212" spans="1:20" s="166" customFormat="1" ht="36.75" customHeight="1" x14ac:dyDescent="0.25">
      <c r="A212" s="278">
        <v>1</v>
      </c>
      <c r="B212" s="299" t="s">
        <v>325</v>
      </c>
      <c r="C212" s="693" t="s">
        <v>303</v>
      </c>
      <c r="D212" s="278"/>
      <c r="E212" s="348">
        <v>2</v>
      </c>
      <c r="F212" s="348">
        <v>2</v>
      </c>
      <c r="G212" s="348">
        <v>6</v>
      </c>
      <c r="H212" s="348">
        <v>5</v>
      </c>
      <c r="I212" s="348">
        <v>1</v>
      </c>
      <c r="J212" s="343">
        <f t="shared" si="46"/>
        <v>57600</v>
      </c>
      <c r="K212" s="343">
        <f t="shared" si="47"/>
        <v>75600</v>
      </c>
      <c r="L212" s="343">
        <f t="shared" si="48"/>
        <v>133200</v>
      </c>
      <c r="M212" s="281"/>
      <c r="N212" s="307"/>
      <c r="O212" s="307"/>
      <c r="P212" s="307"/>
      <c r="Q212" s="307">
        <v>5</v>
      </c>
      <c r="R212" s="307">
        <v>1</v>
      </c>
      <c r="S212" s="144"/>
      <c r="T212" s="144"/>
    </row>
    <row r="213" spans="1:20" s="166" customFormat="1" ht="26.4" x14ac:dyDescent="0.25">
      <c r="A213" s="278">
        <v>2</v>
      </c>
      <c r="B213" s="350" t="s">
        <v>326</v>
      </c>
      <c r="C213" s="704"/>
      <c r="D213" s="278"/>
      <c r="E213" s="348">
        <v>2</v>
      </c>
      <c r="F213" s="348">
        <v>2</v>
      </c>
      <c r="G213" s="348">
        <v>6</v>
      </c>
      <c r="H213" s="348">
        <v>5</v>
      </c>
      <c r="I213" s="348">
        <v>1</v>
      </c>
      <c r="J213" s="343">
        <f t="shared" si="46"/>
        <v>57600</v>
      </c>
      <c r="K213" s="343">
        <f t="shared" si="47"/>
        <v>75600</v>
      </c>
      <c r="L213" s="343">
        <f t="shared" si="48"/>
        <v>133200</v>
      </c>
      <c r="M213" s="281"/>
      <c r="N213" s="307"/>
      <c r="O213" s="307"/>
      <c r="P213" s="307"/>
      <c r="Q213" s="307">
        <v>5</v>
      </c>
      <c r="R213" s="307">
        <v>1</v>
      </c>
      <c r="S213" s="144"/>
      <c r="T213" s="144"/>
    </row>
    <row r="214" spans="1:20" s="166" customFormat="1" ht="26.4" x14ac:dyDescent="0.25">
      <c r="A214" s="278">
        <v>3</v>
      </c>
      <c r="B214" s="350" t="s">
        <v>327</v>
      </c>
      <c r="C214" s="704"/>
      <c r="D214" s="278"/>
      <c r="E214" s="349">
        <v>2</v>
      </c>
      <c r="F214" s="349">
        <v>2</v>
      </c>
      <c r="G214" s="349">
        <v>6</v>
      </c>
      <c r="H214" s="349">
        <v>5</v>
      </c>
      <c r="I214" s="349">
        <v>1</v>
      </c>
      <c r="J214" s="343">
        <f t="shared" si="46"/>
        <v>57600</v>
      </c>
      <c r="K214" s="343">
        <f t="shared" si="47"/>
        <v>75600</v>
      </c>
      <c r="L214" s="343">
        <f t="shared" si="48"/>
        <v>133200</v>
      </c>
      <c r="M214" s="281"/>
      <c r="N214" s="307"/>
      <c r="O214" s="307"/>
      <c r="P214" s="307"/>
      <c r="Q214" s="307">
        <v>5</v>
      </c>
      <c r="R214" s="307">
        <v>1</v>
      </c>
      <c r="S214" s="144"/>
      <c r="T214" s="144"/>
    </row>
    <row r="215" spans="1:20" s="165" customFormat="1" ht="37.5" customHeight="1" x14ac:dyDescent="0.25">
      <c r="A215" s="278">
        <v>4</v>
      </c>
      <c r="B215" s="350" t="s">
        <v>328</v>
      </c>
      <c r="C215" s="694"/>
      <c r="D215" s="304"/>
      <c r="E215" s="304">
        <v>2</v>
      </c>
      <c r="F215" s="304">
        <v>3</v>
      </c>
      <c r="G215" s="304">
        <v>3</v>
      </c>
      <c r="H215" s="304">
        <v>2</v>
      </c>
      <c r="I215" s="349">
        <v>1</v>
      </c>
      <c r="J215" s="343">
        <f t="shared" si="46"/>
        <v>28800</v>
      </c>
      <c r="K215" s="343">
        <f t="shared" si="47"/>
        <v>70200</v>
      </c>
      <c r="L215" s="343">
        <f t="shared" si="48"/>
        <v>99000</v>
      </c>
      <c r="M215" s="314"/>
      <c r="N215" s="299"/>
      <c r="O215" s="299"/>
      <c r="P215" s="299"/>
      <c r="Q215" s="299">
        <v>4</v>
      </c>
      <c r="R215" s="299">
        <v>1</v>
      </c>
      <c r="S215" s="138"/>
      <c r="T215" s="138"/>
    </row>
    <row r="216" spans="1:20" s="165" customFormat="1" ht="39" customHeight="1" x14ac:dyDescent="0.25">
      <c r="A216" s="278">
        <v>5</v>
      </c>
      <c r="B216" s="350" t="s">
        <v>329</v>
      </c>
      <c r="C216" s="704" t="s">
        <v>309</v>
      </c>
      <c r="D216" s="304"/>
      <c r="E216" s="304">
        <v>1</v>
      </c>
      <c r="F216" s="304">
        <v>2</v>
      </c>
      <c r="G216" s="304">
        <v>1</v>
      </c>
      <c r="H216" s="304">
        <v>1</v>
      </c>
      <c r="I216" s="392"/>
      <c r="J216" s="343">
        <f t="shared" si="46"/>
        <v>4800</v>
      </c>
      <c r="K216" s="343">
        <f t="shared" si="47"/>
        <v>27600</v>
      </c>
      <c r="L216" s="343">
        <f t="shared" si="48"/>
        <v>32400</v>
      </c>
      <c r="M216" s="314" t="s">
        <v>310</v>
      </c>
      <c r="N216" s="299"/>
      <c r="O216" s="299"/>
      <c r="P216" s="299"/>
      <c r="Q216" s="299">
        <v>1</v>
      </c>
      <c r="R216" s="299"/>
      <c r="S216" s="138"/>
      <c r="T216" s="138"/>
    </row>
    <row r="217" spans="1:20" s="165" customFormat="1" ht="35.25" customHeight="1" x14ac:dyDescent="0.25">
      <c r="A217" s="278">
        <v>6</v>
      </c>
      <c r="B217" s="299" t="s">
        <v>330</v>
      </c>
      <c r="C217" s="694"/>
      <c r="D217" s="304"/>
      <c r="E217" s="304">
        <v>2</v>
      </c>
      <c r="F217" s="304">
        <v>2</v>
      </c>
      <c r="G217" s="304">
        <v>1</v>
      </c>
      <c r="H217" s="304">
        <v>1</v>
      </c>
      <c r="I217" s="392"/>
      <c r="J217" s="343">
        <f t="shared" si="46"/>
        <v>9600</v>
      </c>
      <c r="K217" s="343">
        <f t="shared" si="47"/>
        <v>27600</v>
      </c>
      <c r="L217" s="343">
        <f t="shared" si="48"/>
        <v>37200</v>
      </c>
      <c r="M217" s="314" t="s">
        <v>310</v>
      </c>
      <c r="N217" s="299"/>
      <c r="O217" s="299"/>
      <c r="P217" s="299"/>
      <c r="Q217" s="299">
        <v>1</v>
      </c>
      <c r="R217" s="299"/>
      <c r="S217" s="138"/>
      <c r="T217" s="138"/>
    </row>
    <row r="218" spans="1:20" s="165" customFormat="1" ht="26.25" customHeight="1" x14ac:dyDescent="0.25">
      <c r="A218" s="278">
        <v>7</v>
      </c>
      <c r="B218" s="352" t="s">
        <v>331</v>
      </c>
      <c r="C218" s="693" t="s">
        <v>277</v>
      </c>
      <c r="D218" s="350"/>
      <c r="E218" s="351">
        <v>1</v>
      </c>
      <c r="F218" s="351">
        <v>1</v>
      </c>
      <c r="G218" s="351">
        <v>3</v>
      </c>
      <c r="H218" s="351">
        <v>3</v>
      </c>
      <c r="I218" s="392"/>
      <c r="J218" s="343">
        <f t="shared" si="46"/>
        <v>14400</v>
      </c>
      <c r="K218" s="343">
        <f t="shared" si="47"/>
        <v>23400</v>
      </c>
      <c r="L218" s="343">
        <f t="shared" si="48"/>
        <v>37800</v>
      </c>
      <c r="M218" s="314"/>
      <c r="N218" s="299"/>
      <c r="O218" s="299"/>
      <c r="P218" s="299"/>
      <c r="Q218" s="299"/>
      <c r="R218" s="299"/>
      <c r="S218" s="138"/>
      <c r="T218" s="138"/>
    </row>
    <row r="219" spans="1:20" s="165" customFormat="1" ht="26.25" customHeight="1" x14ac:dyDescent="0.25">
      <c r="A219" s="278">
        <v>8</v>
      </c>
      <c r="B219" s="346" t="s">
        <v>69</v>
      </c>
      <c r="C219" s="694"/>
      <c r="D219" s="350"/>
      <c r="E219" s="351">
        <v>1</v>
      </c>
      <c r="F219" s="351">
        <v>1</v>
      </c>
      <c r="G219" s="351">
        <v>6</v>
      </c>
      <c r="H219" s="351">
        <v>6</v>
      </c>
      <c r="I219" s="392"/>
      <c r="J219" s="343">
        <f t="shared" si="46"/>
        <v>28800</v>
      </c>
      <c r="K219" s="343">
        <f t="shared" si="47"/>
        <v>37800</v>
      </c>
      <c r="L219" s="343">
        <f t="shared" si="48"/>
        <v>66600</v>
      </c>
      <c r="M219" s="314"/>
      <c r="N219" s="299"/>
      <c r="O219" s="299"/>
      <c r="P219" s="299"/>
      <c r="Q219" s="299"/>
      <c r="R219" s="299"/>
      <c r="S219" s="138"/>
      <c r="T219" s="138"/>
    </row>
    <row r="220" spans="1:20" s="152" customFormat="1" ht="36.75" customHeight="1" x14ac:dyDescent="0.25">
      <c r="A220" s="278">
        <v>9</v>
      </c>
      <c r="B220" s="352" t="s">
        <v>332</v>
      </c>
      <c r="C220" s="304" t="s">
        <v>333</v>
      </c>
      <c r="D220" s="304"/>
      <c r="E220" s="304">
        <v>1</v>
      </c>
      <c r="F220" s="304">
        <v>2</v>
      </c>
      <c r="G220" s="304">
        <v>3</v>
      </c>
      <c r="H220" s="304">
        <v>3</v>
      </c>
      <c r="I220" s="395"/>
      <c r="J220" s="343">
        <f t="shared" si="46"/>
        <v>14400</v>
      </c>
      <c r="K220" s="343">
        <f t="shared" si="47"/>
        <v>46800</v>
      </c>
      <c r="L220" s="343">
        <f t="shared" si="48"/>
        <v>61200</v>
      </c>
      <c r="M220" s="314"/>
      <c r="N220" s="299"/>
      <c r="O220" s="299"/>
      <c r="P220" s="299"/>
      <c r="Q220" s="299"/>
      <c r="R220" s="299"/>
      <c r="S220" s="138"/>
      <c r="T220" s="138"/>
    </row>
    <row r="221" spans="1:20" s="166" customFormat="1" ht="13.2" x14ac:dyDescent="0.25">
      <c r="A221" s="278"/>
      <c r="B221" s="307" t="s">
        <v>177</v>
      </c>
      <c r="C221" s="278"/>
      <c r="D221" s="278"/>
      <c r="E221" s="278"/>
      <c r="F221" s="278"/>
      <c r="G221" s="278"/>
      <c r="H221" s="278"/>
      <c r="I221" s="394"/>
      <c r="J221" s="343">
        <f t="shared" si="46"/>
        <v>0</v>
      </c>
      <c r="K221" s="343">
        <f t="shared" si="47"/>
        <v>0</v>
      </c>
      <c r="L221" s="343">
        <f t="shared" si="48"/>
        <v>0</v>
      </c>
      <c r="M221" s="281"/>
      <c r="N221" s="307"/>
      <c r="O221" s="307"/>
      <c r="P221" s="307"/>
      <c r="Q221" s="307"/>
      <c r="R221" s="307"/>
      <c r="S221" s="144"/>
      <c r="T221" s="144"/>
    </row>
    <row r="222" spans="1:20" s="165" customFormat="1" ht="28.5" customHeight="1" x14ac:dyDescent="0.25">
      <c r="A222" s="304">
        <v>1</v>
      </c>
      <c r="B222" s="299" t="s">
        <v>334</v>
      </c>
      <c r="C222" s="693" t="s">
        <v>303</v>
      </c>
      <c r="D222" s="304"/>
      <c r="E222" s="303">
        <v>2</v>
      </c>
      <c r="F222" s="303">
        <v>2</v>
      </c>
      <c r="G222" s="303">
        <v>3</v>
      </c>
      <c r="H222" s="303">
        <v>2</v>
      </c>
      <c r="I222" s="348">
        <v>1</v>
      </c>
      <c r="J222" s="343">
        <f t="shared" si="46"/>
        <v>28800</v>
      </c>
      <c r="K222" s="343">
        <f t="shared" si="47"/>
        <v>46800</v>
      </c>
      <c r="L222" s="343">
        <f t="shared" si="48"/>
        <v>75600</v>
      </c>
      <c r="M222" s="314"/>
      <c r="N222" s="299"/>
      <c r="O222" s="299"/>
      <c r="P222" s="299"/>
      <c r="Q222" s="299">
        <v>2</v>
      </c>
      <c r="R222" s="299">
        <v>1</v>
      </c>
      <c r="S222" s="138"/>
      <c r="T222" s="138"/>
    </row>
    <row r="223" spans="1:20" s="152" customFormat="1" ht="21" customHeight="1" x14ac:dyDescent="0.25">
      <c r="A223" s="304">
        <v>2</v>
      </c>
      <c r="B223" s="330" t="s">
        <v>335</v>
      </c>
      <c r="C223" s="694"/>
      <c r="D223" s="304"/>
      <c r="E223" s="303">
        <v>2</v>
      </c>
      <c r="F223" s="303">
        <v>2</v>
      </c>
      <c r="G223" s="303">
        <v>3</v>
      </c>
      <c r="H223" s="303">
        <v>2</v>
      </c>
      <c r="I223" s="349">
        <v>1</v>
      </c>
      <c r="J223" s="343">
        <f t="shared" si="46"/>
        <v>28800</v>
      </c>
      <c r="K223" s="343">
        <f t="shared" si="47"/>
        <v>46800</v>
      </c>
      <c r="L223" s="343">
        <f t="shared" si="48"/>
        <v>75600</v>
      </c>
      <c r="M223" s="314"/>
      <c r="N223" s="299"/>
      <c r="O223" s="299"/>
      <c r="P223" s="299"/>
      <c r="Q223" s="299">
        <v>2</v>
      </c>
      <c r="R223" s="299">
        <v>1</v>
      </c>
      <c r="S223" s="138"/>
      <c r="T223" s="138"/>
    </row>
    <row r="224" spans="1:20" s="152" customFormat="1" ht="19.5" customHeight="1" x14ac:dyDescent="0.25">
      <c r="A224" s="304">
        <v>3</v>
      </c>
      <c r="B224" s="330" t="s">
        <v>336</v>
      </c>
      <c r="C224" s="693" t="s">
        <v>309</v>
      </c>
      <c r="D224" s="304"/>
      <c r="E224" s="303">
        <v>1</v>
      </c>
      <c r="F224" s="304">
        <v>2</v>
      </c>
      <c r="G224" s="304">
        <v>1</v>
      </c>
      <c r="H224" s="304">
        <v>1</v>
      </c>
      <c r="I224" s="392"/>
      <c r="J224" s="343">
        <f t="shared" si="46"/>
        <v>4800</v>
      </c>
      <c r="K224" s="343">
        <f t="shared" si="47"/>
        <v>27600</v>
      </c>
      <c r="L224" s="343">
        <f t="shared" si="48"/>
        <v>32400</v>
      </c>
      <c r="M224" s="314" t="s">
        <v>310</v>
      </c>
      <c r="N224" s="299"/>
      <c r="O224" s="299"/>
      <c r="P224" s="299"/>
      <c r="Q224" s="299">
        <v>1</v>
      </c>
      <c r="R224" s="299"/>
      <c r="S224" s="138"/>
      <c r="T224" s="138"/>
    </row>
    <row r="225" spans="1:20" s="152" customFormat="1" ht="19.5" customHeight="1" x14ac:dyDescent="0.25">
      <c r="A225" s="304">
        <v>4</v>
      </c>
      <c r="B225" s="330" t="s">
        <v>337</v>
      </c>
      <c r="C225" s="704"/>
      <c r="D225" s="304"/>
      <c r="E225" s="303">
        <v>1</v>
      </c>
      <c r="F225" s="304">
        <v>2</v>
      </c>
      <c r="G225" s="304">
        <v>1</v>
      </c>
      <c r="H225" s="304">
        <v>1</v>
      </c>
      <c r="I225" s="392"/>
      <c r="J225" s="343">
        <f t="shared" si="46"/>
        <v>4800</v>
      </c>
      <c r="K225" s="343">
        <f t="shared" si="47"/>
        <v>27600</v>
      </c>
      <c r="L225" s="343">
        <f t="shared" si="48"/>
        <v>32400</v>
      </c>
      <c r="M225" s="314" t="s">
        <v>310</v>
      </c>
      <c r="N225" s="299"/>
      <c r="O225" s="299"/>
      <c r="P225" s="299"/>
      <c r="Q225" s="299">
        <v>1</v>
      </c>
      <c r="R225" s="299"/>
      <c r="S225" s="138"/>
      <c r="T225" s="138"/>
    </row>
    <row r="226" spans="1:20" s="152" customFormat="1" ht="21" customHeight="1" x14ac:dyDescent="0.25">
      <c r="A226" s="304">
        <v>5</v>
      </c>
      <c r="B226" s="330" t="s">
        <v>338</v>
      </c>
      <c r="C226" s="704"/>
      <c r="D226" s="304"/>
      <c r="E226" s="303">
        <v>1</v>
      </c>
      <c r="F226" s="304">
        <v>2</v>
      </c>
      <c r="G226" s="304">
        <v>1</v>
      </c>
      <c r="H226" s="304">
        <v>1</v>
      </c>
      <c r="I226" s="392"/>
      <c r="J226" s="343">
        <f t="shared" si="46"/>
        <v>4800</v>
      </c>
      <c r="K226" s="343">
        <f t="shared" si="47"/>
        <v>27600</v>
      </c>
      <c r="L226" s="343">
        <f t="shared" si="48"/>
        <v>32400</v>
      </c>
      <c r="M226" s="314" t="s">
        <v>310</v>
      </c>
      <c r="N226" s="299"/>
      <c r="O226" s="299"/>
      <c r="P226" s="299"/>
      <c r="Q226" s="299">
        <v>1</v>
      </c>
      <c r="R226" s="299"/>
      <c r="S226" s="138"/>
      <c r="T226" s="138"/>
    </row>
    <row r="227" spans="1:20" s="165" customFormat="1" ht="38.25" customHeight="1" x14ac:dyDescent="0.25">
      <c r="A227" s="304">
        <v>6</v>
      </c>
      <c r="B227" s="350" t="s">
        <v>339</v>
      </c>
      <c r="C227" s="694"/>
      <c r="D227" s="304"/>
      <c r="E227" s="303">
        <v>1</v>
      </c>
      <c r="F227" s="304">
        <v>2</v>
      </c>
      <c r="G227" s="304">
        <v>1</v>
      </c>
      <c r="H227" s="304">
        <v>1</v>
      </c>
      <c r="I227" s="392"/>
      <c r="J227" s="343">
        <f t="shared" si="46"/>
        <v>4800</v>
      </c>
      <c r="K227" s="343">
        <f t="shared" si="47"/>
        <v>27600</v>
      </c>
      <c r="L227" s="343">
        <f t="shared" si="48"/>
        <v>32400</v>
      </c>
      <c r="M227" s="314" t="s">
        <v>310</v>
      </c>
      <c r="N227" s="299"/>
      <c r="O227" s="299"/>
      <c r="P227" s="299"/>
      <c r="Q227" s="299">
        <v>1</v>
      </c>
      <c r="R227" s="299"/>
      <c r="S227" s="138"/>
      <c r="T227" s="138"/>
    </row>
    <row r="228" spans="1:20" s="152" customFormat="1" ht="21" customHeight="1" x14ac:dyDescent="0.25">
      <c r="A228" s="304">
        <v>7</v>
      </c>
      <c r="B228" s="362" t="s">
        <v>340</v>
      </c>
      <c r="C228" s="309"/>
      <c r="D228" s="304"/>
      <c r="E228" s="303">
        <v>1</v>
      </c>
      <c r="F228" s="303">
        <v>1</v>
      </c>
      <c r="G228" s="303">
        <v>6</v>
      </c>
      <c r="H228" s="303">
        <v>6</v>
      </c>
      <c r="I228" s="392"/>
      <c r="J228" s="343">
        <f t="shared" si="46"/>
        <v>28800</v>
      </c>
      <c r="K228" s="343">
        <f t="shared" si="47"/>
        <v>37800</v>
      </c>
      <c r="L228" s="343">
        <f t="shared" si="48"/>
        <v>66600</v>
      </c>
      <c r="M228" s="314"/>
      <c r="N228" s="299"/>
      <c r="O228" s="299"/>
      <c r="P228" s="299"/>
      <c r="Q228" s="299"/>
      <c r="R228" s="299"/>
      <c r="S228" s="138"/>
      <c r="T228" s="138"/>
    </row>
    <row r="229" spans="1:20" s="152" customFormat="1" ht="39" customHeight="1" x14ac:dyDescent="0.25">
      <c r="A229" s="304">
        <v>8</v>
      </c>
      <c r="B229" s="350" t="s">
        <v>341</v>
      </c>
      <c r="C229" s="309" t="s">
        <v>277</v>
      </c>
      <c r="D229" s="304"/>
      <c r="E229" s="349">
        <v>2</v>
      </c>
      <c r="F229" s="349">
        <v>2</v>
      </c>
      <c r="G229" s="349">
        <v>6</v>
      </c>
      <c r="H229" s="349">
        <v>4</v>
      </c>
      <c r="I229" s="349">
        <v>2</v>
      </c>
      <c r="J229" s="343">
        <f t="shared" si="46"/>
        <v>57600</v>
      </c>
      <c r="K229" s="343">
        <f t="shared" si="47"/>
        <v>75600</v>
      </c>
      <c r="L229" s="343">
        <f t="shared" si="48"/>
        <v>133200</v>
      </c>
      <c r="M229" s="314"/>
      <c r="N229" s="299"/>
      <c r="O229" s="299"/>
      <c r="P229" s="299"/>
      <c r="Q229" s="299">
        <v>4</v>
      </c>
      <c r="R229" s="299">
        <v>2</v>
      </c>
      <c r="S229" s="138"/>
      <c r="T229" s="138"/>
    </row>
    <row r="230" spans="1:20" s="166" customFormat="1" ht="13.2" x14ac:dyDescent="0.25">
      <c r="A230" s="278"/>
      <c r="B230" s="307" t="s">
        <v>192</v>
      </c>
      <c r="C230" s="278"/>
      <c r="D230" s="278"/>
      <c r="E230" s="278"/>
      <c r="F230" s="278"/>
      <c r="G230" s="278"/>
      <c r="H230" s="278"/>
      <c r="I230" s="394"/>
      <c r="J230" s="343">
        <f t="shared" si="46"/>
        <v>0</v>
      </c>
      <c r="K230" s="343">
        <f t="shared" si="47"/>
        <v>0</v>
      </c>
      <c r="L230" s="343">
        <f t="shared" si="48"/>
        <v>0</v>
      </c>
      <c r="M230" s="281"/>
      <c r="N230" s="307"/>
      <c r="O230" s="307"/>
      <c r="P230" s="307"/>
      <c r="Q230" s="307"/>
      <c r="R230" s="307"/>
      <c r="S230" s="144"/>
      <c r="T230" s="144"/>
    </row>
    <row r="231" spans="1:20" s="166" customFormat="1" ht="24.75" customHeight="1" x14ac:dyDescent="0.25">
      <c r="A231" s="278">
        <v>1</v>
      </c>
      <c r="B231" s="299" t="s">
        <v>342</v>
      </c>
      <c r="C231" s="705" t="s">
        <v>277</v>
      </c>
      <c r="D231" s="278"/>
      <c r="E231" s="304">
        <v>1</v>
      </c>
      <c r="F231" s="304">
        <v>1</v>
      </c>
      <c r="G231" s="304">
        <v>1</v>
      </c>
      <c r="H231" s="304">
        <v>1</v>
      </c>
      <c r="I231" s="394"/>
      <c r="J231" s="343">
        <f t="shared" si="46"/>
        <v>4800</v>
      </c>
      <c r="K231" s="343">
        <f t="shared" si="47"/>
        <v>13800</v>
      </c>
      <c r="L231" s="343">
        <f t="shared" si="48"/>
        <v>18600</v>
      </c>
      <c r="M231" s="281"/>
      <c r="N231" s="307"/>
      <c r="O231" s="307"/>
      <c r="P231" s="307"/>
      <c r="Q231" s="307"/>
      <c r="R231" s="307"/>
      <c r="S231" s="144"/>
      <c r="T231" s="144"/>
    </row>
    <row r="232" spans="1:20" s="166" customFormat="1" ht="26.25" customHeight="1" x14ac:dyDescent="0.25">
      <c r="A232" s="278">
        <v>2</v>
      </c>
      <c r="B232" s="299" t="s">
        <v>343</v>
      </c>
      <c r="C232" s="714"/>
      <c r="D232" s="278"/>
      <c r="E232" s="304">
        <v>1</v>
      </c>
      <c r="F232" s="304">
        <v>1</v>
      </c>
      <c r="G232" s="304">
        <v>1</v>
      </c>
      <c r="H232" s="304">
        <v>1</v>
      </c>
      <c r="I232" s="394"/>
      <c r="J232" s="343">
        <f t="shared" si="46"/>
        <v>4800</v>
      </c>
      <c r="K232" s="343">
        <f t="shared" si="47"/>
        <v>13800</v>
      </c>
      <c r="L232" s="343">
        <f t="shared" si="48"/>
        <v>18600</v>
      </c>
      <c r="M232" s="281"/>
      <c r="N232" s="307"/>
      <c r="O232" s="307"/>
      <c r="P232" s="307"/>
      <c r="Q232" s="307"/>
      <c r="R232" s="307"/>
      <c r="S232" s="144"/>
      <c r="T232" s="144"/>
    </row>
    <row r="233" spans="1:20" s="166" customFormat="1" ht="25.5" customHeight="1" x14ac:dyDescent="0.25">
      <c r="A233" s="278">
        <v>3</v>
      </c>
      <c r="B233" s="354" t="s">
        <v>344</v>
      </c>
      <c r="C233" s="714"/>
      <c r="D233" s="278"/>
      <c r="E233" s="304">
        <v>1</v>
      </c>
      <c r="F233" s="304">
        <v>1</v>
      </c>
      <c r="G233" s="304">
        <v>1</v>
      </c>
      <c r="H233" s="304">
        <v>1</v>
      </c>
      <c r="I233" s="394"/>
      <c r="J233" s="343">
        <f t="shared" si="46"/>
        <v>4800</v>
      </c>
      <c r="K233" s="343">
        <f t="shared" si="47"/>
        <v>13800</v>
      </c>
      <c r="L233" s="343">
        <f t="shared" si="48"/>
        <v>18600</v>
      </c>
      <c r="M233" s="281"/>
      <c r="N233" s="307"/>
      <c r="O233" s="307"/>
      <c r="P233" s="307"/>
      <c r="Q233" s="307"/>
      <c r="R233" s="307"/>
      <c r="S233" s="144"/>
      <c r="T233" s="144"/>
    </row>
    <row r="234" spans="1:20" s="166" customFormat="1" ht="34.5" customHeight="1" x14ac:dyDescent="0.25">
      <c r="A234" s="278">
        <v>4</v>
      </c>
      <c r="B234" s="310" t="s">
        <v>345</v>
      </c>
      <c r="C234" s="714"/>
      <c r="D234" s="278"/>
      <c r="E234" s="304">
        <v>1</v>
      </c>
      <c r="F234" s="304">
        <v>1</v>
      </c>
      <c r="G234" s="304">
        <v>1</v>
      </c>
      <c r="H234" s="304">
        <v>1</v>
      </c>
      <c r="I234" s="394"/>
      <c r="J234" s="343">
        <f t="shared" ref="J234:J244" si="49">E234*G234*4800</f>
        <v>4800</v>
      </c>
      <c r="K234" s="343">
        <f t="shared" ref="K234:K244" si="50">F234*G234*4800+9000*F234</f>
        <v>13800</v>
      </c>
      <c r="L234" s="343">
        <f t="shared" ref="L234:L244" si="51">J234+K234</f>
        <v>18600</v>
      </c>
      <c r="M234" s="281"/>
      <c r="N234" s="307"/>
      <c r="O234" s="307"/>
      <c r="P234" s="307"/>
      <c r="Q234" s="307"/>
      <c r="R234" s="307"/>
      <c r="S234" s="144"/>
      <c r="T234" s="144"/>
    </row>
    <row r="235" spans="1:20" s="166" customFormat="1" ht="26.25" customHeight="1" x14ac:dyDescent="0.25">
      <c r="A235" s="278">
        <v>5</v>
      </c>
      <c r="B235" s="299" t="s">
        <v>346</v>
      </c>
      <c r="C235" s="714"/>
      <c r="D235" s="278"/>
      <c r="E235" s="304">
        <v>1</v>
      </c>
      <c r="F235" s="304">
        <v>1</v>
      </c>
      <c r="G235" s="304">
        <v>1</v>
      </c>
      <c r="H235" s="304">
        <v>1</v>
      </c>
      <c r="I235" s="394"/>
      <c r="J235" s="343">
        <f t="shared" si="49"/>
        <v>4800</v>
      </c>
      <c r="K235" s="343">
        <f t="shared" si="50"/>
        <v>13800</v>
      </c>
      <c r="L235" s="343">
        <f t="shared" si="51"/>
        <v>18600</v>
      </c>
      <c r="M235" s="281"/>
      <c r="N235" s="307"/>
      <c r="O235" s="307"/>
      <c r="P235" s="307"/>
      <c r="Q235" s="307"/>
      <c r="R235" s="307"/>
      <c r="S235" s="144"/>
      <c r="T235" s="144"/>
    </row>
    <row r="236" spans="1:20" s="166" customFormat="1" ht="26.25" customHeight="1" x14ac:dyDescent="0.25">
      <c r="A236" s="278">
        <v>6</v>
      </c>
      <c r="B236" s="299" t="s">
        <v>347</v>
      </c>
      <c r="C236" s="714"/>
      <c r="D236" s="278"/>
      <c r="E236" s="304">
        <v>1</v>
      </c>
      <c r="F236" s="304">
        <v>1</v>
      </c>
      <c r="G236" s="304">
        <v>1</v>
      </c>
      <c r="H236" s="304">
        <v>1</v>
      </c>
      <c r="I236" s="394"/>
      <c r="J236" s="343">
        <f t="shared" si="49"/>
        <v>4800</v>
      </c>
      <c r="K236" s="343">
        <f t="shared" si="50"/>
        <v>13800</v>
      </c>
      <c r="L236" s="343">
        <f t="shared" si="51"/>
        <v>18600</v>
      </c>
      <c r="M236" s="281"/>
      <c r="N236" s="307"/>
      <c r="O236" s="307"/>
      <c r="P236" s="307"/>
      <c r="Q236" s="307"/>
      <c r="R236" s="307"/>
      <c r="S236" s="144"/>
      <c r="T236" s="144"/>
    </row>
    <row r="237" spans="1:20" s="166" customFormat="1" ht="26.25" customHeight="1" x14ac:dyDescent="0.25">
      <c r="A237" s="278">
        <v>7</v>
      </c>
      <c r="B237" s="299" t="s">
        <v>348</v>
      </c>
      <c r="C237" s="714"/>
      <c r="D237" s="278"/>
      <c r="E237" s="304">
        <v>1</v>
      </c>
      <c r="F237" s="304">
        <v>1</v>
      </c>
      <c r="G237" s="304">
        <v>1</v>
      </c>
      <c r="H237" s="304">
        <v>1</v>
      </c>
      <c r="I237" s="394"/>
      <c r="J237" s="343">
        <f t="shared" si="49"/>
        <v>4800</v>
      </c>
      <c r="K237" s="343">
        <f t="shared" si="50"/>
        <v>13800</v>
      </c>
      <c r="L237" s="343">
        <f t="shared" si="51"/>
        <v>18600</v>
      </c>
      <c r="M237" s="281"/>
      <c r="N237" s="307"/>
      <c r="O237" s="307"/>
      <c r="P237" s="307"/>
      <c r="Q237" s="307"/>
      <c r="R237" s="307"/>
      <c r="S237" s="144"/>
      <c r="T237" s="144"/>
    </row>
    <row r="238" spans="1:20" s="166" customFormat="1" ht="26.25" customHeight="1" x14ac:dyDescent="0.25">
      <c r="A238" s="278">
        <v>8</v>
      </c>
      <c r="B238" s="299" t="s">
        <v>349</v>
      </c>
      <c r="C238" s="714"/>
      <c r="D238" s="278"/>
      <c r="E238" s="304">
        <v>1</v>
      </c>
      <c r="F238" s="304">
        <v>1</v>
      </c>
      <c r="G238" s="304">
        <v>1</v>
      </c>
      <c r="H238" s="304">
        <v>1</v>
      </c>
      <c r="I238" s="394"/>
      <c r="J238" s="343">
        <f t="shared" si="49"/>
        <v>4800</v>
      </c>
      <c r="K238" s="343">
        <f t="shared" si="50"/>
        <v>13800</v>
      </c>
      <c r="L238" s="343">
        <f t="shared" si="51"/>
        <v>18600</v>
      </c>
      <c r="M238" s="281"/>
      <c r="N238" s="307"/>
      <c r="O238" s="307"/>
      <c r="P238" s="307"/>
      <c r="Q238" s="307"/>
      <c r="R238" s="307"/>
      <c r="S238" s="144"/>
      <c r="T238" s="144"/>
    </row>
    <row r="239" spans="1:20" s="166" customFormat="1" ht="35.25" customHeight="1" x14ac:dyDescent="0.25">
      <c r="A239" s="278">
        <v>9</v>
      </c>
      <c r="B239" s="299" t="s">
        <v>350</v>
      </c>
      <c r="C239" s="714"/>
      <c r="D239" s="278"/>
      <c r="E239" s="304">
        <v>1</v>
      </c>
      <c r="F239" s="304">
        <v>1</v>
      </c>
      <c r="G239" s="304">
        <v>1</v>
      </c>
      <c r="H239" s="304">
        <v>1</v>
      </c>
      <c r="I239" s="394"/>
      <c r="J239" s="343">
        <f t="shared" si="49"/>
        <v>4800</v>
      </c>
      <c r="K239" s="343">
        <f t="shared" si="50"/>
        <v>13800</v>
      </c>
      <c r="L239" s="343">
        <f t="shared" si="51"/>
        <v>18600</v>
      </c>
      <c r="M239" s="281"/>
      <c r="N239" s="307"/>
      <c r="O239" s="307"/>
      <c r="P239" s="307"/>
      <c r="Q239" s="307"/>
      <c r="R239" s="307"/>
      <c r="S239" s="144"/>
      <c r="T239" s="144"/>
    </row>
    <row r="240" spans="1:20" s="166" customFormat="1" ht="26.25" customHeight="1" x14ac:dyDescent="0.25">
      <c r="A240" s="278">
        <v>10</v>
      </c>
      <c r="B240" s="299" t="s">
        <v>351</v>
      </c>
      <c r="C240" s="714"/>
      <c r="D240" s="278"/>
      <c r="E240" s="304">
        <v>1</v>
      </c>
      <c r="F240" s="304">
        <v>1</v>
      </c>
      <c r="G240" s="304">
        <v>1</v>
      </c>
      <c r="H240" s="304">
        <v>1</v>
      </c>
      <c r="I240" s="394"/>
      <c r="J240" s="343">
        <f t="shared" si="49"/>
        <v>4800</v>
      </c>
      <c r="K240" s="343">
        <f t="shared" si="50"/>
        <v>13800</v>
      </c>
      <c r="L240" s="343">
        <f t="shared" si="51"/>
        <v>18600</v>
      </c>
      <c r="M240" s="281"/>
      <c r="N240" s="307"/>
      <c r="O240" s="307"/>
      <c r="P240" s="307"/>
      <c r="Q240" s="307"/>
      <c r="R240" s="307"/>
      <c r="S240" s="144"/>
      <c r="T240" s="144"/>
    </row>
    <row r="241" spans="1:20" s="166" customFormat="1" ht="26.25" customHeight="1" x14ac:dyDescent="0.25">
      <c r="A241" s="278">
        <v>11</v>
      </c>
      <c r="B241" s="299" t="s">
        <v>352</v>
      </c>
      <c r="C241" s="714"/>
      <c r="D241" s="278"/>
      <c r="E241" s="304">
        <v>1</v>
      </c>
      <c r="F241" s="304">
        <v>1</v>
      </c>
      <c r="G241" s="304">
        <v>1</v>
      </c>
      <c r="H241" s="304">
        <v>1</v>
      </c>
      <c r="I241" s="394"/>
      <c r="J241" s="343">
        <f t="shared" si="49"/>
        <v>4800</v>
      </c>
      <c r="K241" s="343">
        <f t="shared" si="50"/>
        <v>13800</v>
      </c>
      <c r="L241" s="343">
        <f t="shared" si="51"/>
        <v>18600</v>
      </c>
      <c r="M241" s="281"/>
      <c r="N241" s="307"/>
      <c r="O241" s="307"/>
      <c r="P241" s="307"/>
      <c r="Q241" s="307"/>
      <c r="R241" s="307"/>
      <c r="S241" s="144"/>
      <c r="T241" s="144"/>
    </row>
    <row r="242" spans="1:20" s="166" customFormat="1" ht="29.25" customHeight="1" x14ac:dyDescent="0.25">
      <c r="A242" s="278">
        <v>12</v>
      </c>
      <c r="B242" s="299" t="s">
        <v>353</v>
      </c>
      <c r="C242" s="715"/>
      <c r="D242" s="278"/>
      <c r="E242" s="348">
        <v>2</v>
      </c>
      <c r="F242" s="348">
        <v>2</v>
      </c>
      <c r="G242" s="348">
        <v>6</v>
      </c>
      <c r="H242" s="348">
        <v>4</v>
      </c>
      <c r="I242" s="348">
        <v>2</v>
      </c>
      <c r="J242" s="343">
        <f t="shared" si="49"/>
        <v>57600</v>
      </c>
      <c r="K242" s="343">
        <f t="shared" si="50"/>
        <v>75600</v>
      </c>
      <c r="L242" s="343">
        <f t="shared" si="51"/>
        <v>133200</v>
      </c>
      <c r="M242" s="281"/>
      <c r="N242" s="307"/>
      <c r="O242" s="307"/>
      <c r="P242" s="307"/>
      <c r="Q242" s="307">
        <v>4</v>
      </c>
      <c r="R242" s="307">
        <v>2</v>
      </c>
      <c r="S242" s="144"/>
      <c r="T242" s="144"/>
    </row>
    <row r="243" spans="1:20" s="166" customFormat="1" ht="53.25" customHeight="1" x14ac:dyDescent="0.25">
      <c r="A243" s="278">
        <v>13</v>
      </c>
      <c r="B243" s="355" t="s">
        <v>354</v>
      </c>
      <c r="C243" s="353" t="s">
        <v>309</v>
      </c>
      <c r="D243" s="275"/>
      <c r="E243" s="303">
        <v>1</v>
      </c>
      <c r="F243" s="304">
        <v>2</v>
      </c>
      <c r="G243" s="304">
        <v>1</v>
      </c>
      <c r="H243" s="304">
        <v>1</v>
      </c>
      <c r="I243" s="392"/>
      <c r="J243" s="343">
        <f t="shared" si="49"/>
        <v>4800</v>
      </c>
      <c r="K243" s="343">
        <f t="shared" si="50"/>
        <v>27600</v>
      </c>
      <c r="L243" s="343">
        <f t="shared" si="51"/>
        <v>32400</v>
      </c>
      <c r="M243" s="314" t="s">
        <v>310</v>
      </c>
      <c r="N243" s="299"/>
      <c r="O243" s="299"/>
      <c r="P243" s="307"/>
      <c r="Q243" s="307">
        <v>1</v>
      </c>
      <c r="R243" s="307"/>
      <c r="S243" s="144"/>
      <c r="T243" s="144"/>
    </row>
    <row r="244" spans="1:20" s="166" customFormat="1" ht="37.5" customHeight="1" x14ac:dyDescent="0.25">
      <c r="A244" s="278">
        <v>14</v>
      </c>
      <c r="B244" s="355" t="s">
        <v>328</v>
      </c>
      <c r="C244" s="303" t="s">
        <v>303</v>
      </c>
      <c r="D244" s="275"/>
      <c r="E244" s="347">
        <v>2</v>
      </c>
      <c r="F244" s="347">
        <v>2</v>
      </c>
      <c r="G244" s="347">
        <v>3</v>
      </c>
      <c r="H244" s="347">
        <v>2</v>
      </c>
      <c r="I244" s="347">
        <v>1</v>
      </c>
      <c r="J244" s="343">
        <f t="shared" si="49"/>
        <v>28800</v>
      </c>
      <c r="K244" s="343">
        <f t="shared" si="50"/>
        <v>46800</v>
      </c>
      <c r="L244" s="343">
        <f t="shared" si="51"/>
        <v>75600</v>
      </c>
      <c r="M244" s="281"/>
      <c r="N244" s="307"/>
      <c r="O244" s="307"/>
      <c r="P244" s="307"/>
      <c r="Q244" s="307">
        <v>2</v>
      </c>
      <c r="R244" s="307">
        <v>1</v>
      </c>
      <c r="S244" s="144"/>
      <c r="T244" s="144"/>
    </row>
    <row r="245" spans="1:20" s="152" customFormat="1" ht="21.75" customHeight="1" x14ac:dyDescent="0.25">
      <c r="A245" s="283">
        <v>52</v>
      </c>
      <c r="B245" s="283" t="s">
        <v>105</v>
      </c>
      <c r="C245" s="288"/>
      <c r="D245" s="288"/>
      <c r="E245" s="283"/>
      <c r="F245" s="283"/>
      <c r="G245" s="283"/>
      <c r="H245" s="283"/>
      <c r="I245" s="396"/>
      <c r="J245" s="289"/>
      <c r="K245" s="289"/>
      <c r="L245" s="283"/>
      <c r="M245" s="315"/>
      <c r="N245" s="278"/>
      <c r="O245" s="278"/>
      <c r="P245" s="299"/>
      <c r="Q245" s="299"/>
      <c r="R245" s="299"/>
      <c r="S245" s="138"/>
      <c r="T245" s="138"/>
    </row>
    <row r="246" spans="1:20" s="152" customFormat="1" ht="31.5" customHeight="1" x14ac:dyDescent="0.25">
      <c r="A246" s="283" t="s">
        <v>168</v>
      </c>
      <c r="B246" s="702" t="s">
        <v>169</v>
      </c>
      <c r="C246" s="701"/>
      <c r="D246" s="707"/>
      <c r="E246" s="278"/>
      <c r="F246" s="278"/>
      <c r="G246" s="278"/>
      <c r="H246" s="278"/>
      <c r="I246" s="397"/>
      <c r="J246" s="356"/>
      <c r="K246" s="356"/>
      <c r="L246" s="356">
        <f>L248+L251+L255</f>
        <v>532800</v>
      </c>
      <c r="M246" s="314"/>
      <c r="N246" s="299"/>
      <c r="O246" s="299"/>
      <c r="P246" s="299"/>
      <c r="Q246" s="299"/>
      <c r="R246" s="299"/>
      <c r="S246" s="138"/>
      <c r="T246" s="138"/>
    </row>
    <row r="247" spans="1:20" s="152" customFormat="1" ht="31.5" customHeight="1" x14ac:dyDescent="0.25">
      <c r="A247" s="283"/>
      <c r="B247" s="296" t="s">
        <v>4</v>
      </c>
      <c r="C247" s="307"/>
      <c r="D247" s="307"/>
      <c r="E247" s="278"/>
      <c r="F247" s="278"/>
      <c r="G247" s="278"/>
      <c r="H247" s="278"/>
      <c r="I247" s="397"/>
      <c r="J247" s="356"/>
      <c r="K247" s="356"/>
      <c r="L247" s="356"/>
      <c r="M247" s="314"/>
      <c r="N247" s="299"/>
      <c r="O247" s="299"/>
      <c r="P247" s="299"/>
      <c r="Q247" s="299"/>
      <c r="R247" s="299"/>
      <c r="S247" s="138"/>
      <c r="T247" s="138"/>
    </row>
    <row r="248" spans="1:20" s="152" customFormat="1" ht="30.75" customHeight="1" x14ac:dyDescent="0.25">
      <c r="A248" s="283"/>
      <c r="B248" s="307" t="s">
        <v>173</v>
      </c>
      <c r="C248" s="275"/>
      <c r="D248" s="275"/>
      <c r="E248" s="278"/>
      <c r="F248" s="278"/>
      <c r="G248" s="278"/>
      <c r="H248" s="278"/>
      <c r="I248" s="397"/>
      <c r="J248" s="277">
        <f>J249+J250</f>
        <v>115200</v>
      </c>
      <c r="K248" s="277">
        <f t="shared" ref="K248:L248" si="52">K249+K250</f>
        <v>151200</v>
      </c>
      <c r="L248" s="277">
        <f t="shared" si="52"/>
        <v>266400</v>
      </c>
      <c r="M248" s="314"/>
      <c r="N248" s="299"/>
      <c r="O248" s="299"/>
      <c r="P248" s="299"/>
      <c r="Q248" s="299"/>
      <c r="R248" s="299">
        <v>12</v>
      </c>
      <c r="S248" s="138"/>
      <c r="T248" s="138"/>
    </row>
    <row r="249" spans="1:20" s="152" customFormat="1" ht="55.5" customHeight="1" x14ac:dyDescent="0.25">
      <c r="A249" s="309">
        <v>1</v>
      </c>
      <c r="B249" s="334" t="s">
        <v>355</v>
      </c>
      <c r="C249" s="304" t="s">
        <v>356</v>
      </c>
      <c r="D249" s="304" t="s">
        <v>105</v>
      </c>
      <c r="E249" s="304">
        <v>2</v>
      </c>
      <c r="F249" s="304">
        <v>2</v>
      </c>
      <c r="G249" s="304">
        <v>6</v>
      </c>
      <c r="H249" s="304"/>
      <c r="I249" s="398">
        <v>6</v>
      </c>
      <c r="J249" s="343">
        <f t="shared" ref="J249:J250" si="53">E249*G249*4800</f>
        <v>57600</v>
      </c>
      <c r="K249" s="343">
        <f t="shared" ref="K249:K250" si="54">F249*G249*4800+9000*F249</f>
        <v>75600</v>
      </c>
      <c r="L249" s="343">
        <f t="shared" ref="L249:L250" si="55">J249+K249</f>
        <v>133200</v>
      </c>
      <c r="M249" s="357" t="s">
        <v>357</v>
      </c>
      <c r="N249" s="304"/>
      <c r="O249" s="304"/>
      <c r="P249" s="299"/>
      <c r="Q249" s="299"/>
      <c r="R249" s="299">
        <v>6</v>
      </c>
      <c r="S249" s="138"/>
      <c r="T249" s="138"/>
    </row>
    <row r="250" spans="1:20" s="152" customFormat="1" ht="39.75" customHeight="1" x14ac:dyDescent="0.25">
      <c r="A250" s="309">
        <v>2</v>
      </c>
      <c r="B250" s="334" t="s">
        <v>358</v>
      </c>
      <c r="C250" s="304" t="s">
        <v>356</v>
      </c>
      <c r="D250" s="304" t="s">
        <v>105</v>
      </c>
      <c r="E250" s="304">
        <v>2</v>
      </c>
      <c r="F250" s="304">
        <v>2</v>
      </c>
      <c r="G250" s="304">
        <v>6</v>
      </c>
      <c r="H250" s="304"/>
      <c r="I250" s="398">
        <v>6</v>
      </c>
      <c r="J250" s="343">
        <f t="shared" si="53"/>
        <v>57600</v>
      </c>
      <c r="K250" s="343">
        <f t="shared" si="54"/>
        <v>75600</v>
      </c>
      <c r="L250" s="343">
        <f t="shared" si="55"/>
        <v>133200</v>
      </c>
      <c r="M250" s="357" t="s">
        <v>357</v>
      </c>
      <c r="N250" s="304"/>
      <c r="O250" s="304"/>
      <c r="P250" s="299"/>
      <c r="Q250" s="299"/>
      <c r="R250" s="299">
        <v>6</v>
      </c>
      <c r="S250" s="138"/>
      <c r="T250" s="138"/>
    </row>
    <row r="251" spans="1:20" s="152" customFormat="1" ht="32.25" customHeight="1" x14ac:dyDescent="0.25">
      <c r="A251" s="278"/>
      <c r="B251" s="307" t="s">
        <v>175</v>
      </c>
      <c r="C251" s="278"/>
      <c r="D251" s="278"/>
      <c r="E251" s="278"/>
      <c r="F251" s="278"/>
      <c r="G251" s="278"/>
      <c r="H251" s="278"/>
      <c r="I251" s="397"/>
      <c r="J251" s="277"/>
      <c r="K251" s="277"/>
      <c r="L251" s="277">
        <f t="shared" ref="L251" si="56">L252+L253</f>
        <v>266400</v>
      </c>
      <c r="M251" s="276"/>
      <c r="N251" s="278"/>
      <c r="O251" s="278"/>
      <c r="P251" s="299"/>
      <c r="Q251" s="299"/>
      <c r="R251" s="307">
        <f>R252+R253</f>
        <v>12</v>
      </c>
      <c r="S251" s="138"/>
      <c r="T251" s="138"/>
    </row>
    <row r="252" spans="1:20" s="166" customFormat="1" ht="44.25" customHeight="1" x14ac:dyDescent="0.25">
      <c r="A252" s="304">
        <v>1</v>
      </c>
      <c r="B252" s="299" t="s">
        <v>359</v>
      </c>
      <c r="C252" s="304" t="s">
        <v>356</v>
      </c>
      <c r="D252" s="304" t="s">
        <v>105</v>
      </c>
      <c r="E252" s="304">
        <v>2</v>
      </c>
      <c r="F252" s="304">
        <v>2</v>
      </c>
      <c r="G252" s="304">
        <v>6</v>
      </c>
      <c r="H252" s="304"/>
      <c r="I252" s="398">
        <v>6</v>
      </c>
      <c r="J252" s="343">
        <f t="shared" ref="J252:J253" si="57">E252*G252*4800</f>
        <v>57600</v>
      </c>
      <c r="K252" s="343">
        <f t="shared" ref="K252:K253" si="58">F252*G252*4800+9000*F252</f>
        <v>75600</v>
      </c>
      <c r="L252" s="343">
        <f t="shared" ref="L252:L253" si="59">J252+K252</f>
        <v>133200</v>
      </c>
      <c r="M252" s="357" t="s">
        <v>357</v>
      </c>
      <c r="N252" s="304"/>
      <c r="O252" s="304"/>
      <c r="P252" s="307"/>
      <c r="Q252" s="307"/>
      <c r="R252" s="307">
        <v>6</v>
      </c>
      <c r="S252" s="144"/>
      <c r="T252" s="144"/>
    </row>
    <row r="253" spans="1:20" s="152" customFormat="1" ht="26.4" x14ac:dyDescent="0.25">
      <c r="A253" s="304">
        <v>2</v>
      </c>
      <c r="B253" s="299" t="s">
        <v>360</v>
      </c>
      <c r="C253" s="304" t="s">
        <v>356</v>
      </c>
      <c r="D253" s="304" t="s">
        <v>105</v>
      </c>
      <c r="E253" s="304">
        <v>2</v>
      </c>
      <c r="F253" s="304">
        <v>2</v>
      </c>
      <c r="G253" s="304">
        <v>6</v>
      </c>
      <c r="H253" s="304"/>
      <c r="I253" s="398">
        <v>6</v>
      </c>
      <c r="J253" s="343">
        <f t="shared" si="57"/>
        <v>57600</v>
      </c>
      <c r="K253" s="343">
        <f t="shared" si="58"/>
        <v>75600</v>
      </c>
      <c r="L253" s="343">
        <f t="shared" si="59"/>
        <v>133200</v>
      </c>
      <c r="M253" s="357" t="s">
        <v>357</v>
      </c>
      <c r="N253" s="304"/>
      <c r="O253" s="304"/>
      <c r="P253" s="299"/>
      <c r="Q253" s="299"/>
      <c r="R253" s="299">
        <v>6</v>
      </c>
      <c r="S253" s="138"/>
      <c r="T253" s="138"/>
    </row>
    <row r="254" spans="1:20" s="152" customFormat="1" ht="30" customHeight="1" x14ac:dyDescent="0.25">
      <c r="A254" s="278"/>
      <c r="B254" s="307" t="s">
        <v>177</v>
      </c>
      <c r="C254" s="278"/>
      <c r="D254" s="278"/>
      <c r="E254" s="278"/>
      <c r="F254" s="278"/>
      <c r="G254" s="278"/>
      <c r="H254" s="278"/>
      <c r="I254" s="399"/>
      <c r="J254" s="277"/>
      <c r="K254" s="277"/>
      <c r="L254" s="277"/>
      <c r="M254" s="281"/>
      <c r="N254" s="307"/>
      <c r="O254" s="307"/>
      <c r="P254" s="299"/>
      <c r="Q254" s="299"/>
      <c r="R254" s="299"/>
      <c r="S254" s="138"/>
      <c r="T254" s="138"/>
    </row>
    <row r="255" spans="1:20" s="152" customFormat="1" ht="33" customHeight="1" x14ac:dyDescent="0.25">
      <c r="A255" s="278"/>
      <c r="B255" s="307" t="s">
        <v>192</v>
      </c>
      <c r="C255" s="278"/>
      <c r="D255" s="278"/>
      <c r="E255" s="278"/>
      <c r="F255" s="278"/>
      <c r="G255" s="278"/>
      <c r="H255" s="278"/>
      <c r="I255" s="399"/>
      <c r="J255" s="277"/>
      <c r="K255" s="277"/>
      <c r="L255" s="277"/>
      <c r="M255" s="281"/>
      <c r="N255" s="307"/>
      <c r="O255" s="307"/>
      <c r="P255" s="299"/>
      <c r="Q255" s="299"/>
      <c r="R255" s="299"/>
      <c r="S255" s="138"/>
      <c r="T255" s="138"/>
    </row>
    <row r="256" spans="1:20" s="152" customFormat="1" ht="45.75" customHeight="1" x14ac:dyDescent="0.25">
      <c r="A256" s="304">
        <v>1</v>
      </c>
      <c r="B256" s="299" t="s">
        <v>361</v>
      </c>
      <c r="C256" s="304" t="s">
        <v>362</v>
      </c>
      <c r="D256" s="304" t="s">
        <v>105</v>
      </c>
      <c r="E256" s="304">
        <v>2</v>
      </c>
      <c r="F256" s="304">
        <v>2</v>
      </c>
      <c r="G256" s="304">
        <v>6</v>
      </c>
      <c r="H256" s="304"/>
      <c r="I256" s="398">
        <v>6</v>
      </c>
      <c r="J256" s="343">
        <f>E256*I256*4800</f>
        <v>57600</v>
      </c>
      <c r="K256" s="343">
        <f>F256*G256*4800+9000*F256</f>
        <v>75600</v>
      </c>
      <c r="L256" s="343">
        <f>J256+K256</f>
        <v>133200</v>
      </c>
      <c r="M256" s="314" t="s">
        <v>357</v>
      </c>
      <c r="N256" s="299"/>
      <c r="O256" s="299"/>
      <c r="P256" s="299"/>
      <c r="Q256" s="299"/>
      <c r="R256" s="299">
        <v>6</v>
      </c>
      <c r="S256" s="138"/>
      <c r="T256" s="138"/>
    </row>
    <row r="257" spans="1:20" s="134" customFormat="1" ht="13.8" x14ac:dyDescent="0.25">
      <c r="A257" s="283">
        <v>54</v>
      </c>
      <c r="B257" s="716" t="s">
        <v>115</v>
      </c>
      <c r="C257" s="717"/>
      <c r="D257" s="288"/>
      <c r="E257" s="283"/>
      <c r="F257" s="283"/>
      <c r="G257" s="283"/>
      <c r="H257" s="283"/>
      <c r="I257" s="283"/>
      <c r="J257" s="289">
        <f>J259+J261</f>
        <v>28800</v>
      </c>
      <c r="K257" s="289">
        <f>K259+K261</f>
        <v>46800</v>
      </c>
      <c r="L257" s="289">
        <f>L259+L261</f>
        <v>75600</v>
      </c>
      <c r="M257" s="315"/>
      <c r="N257" s="278"/>
      <c r="O257" s="278"/>
      <c r="P257" s="316"/>
      <c r="Q257" s="316"/>
      <c r="R257" s="316"/>
      <c r="S257" s="133"/>
      <c r="T257" s="133"/>
    </row>
    <row r="258" spans="1:20" s="139" customFormat="1" ht="26.4" x14ac:dyDescent="0.3">
      <c r="A258" s="283" t="s">
        <v>168</v>
      </c>
      <c r="B258" s="296" t="s">
        <v>169</v>
      </c>
      <c r="C258" s="275"/>
      <c r="D258" s="275"/>
      <c r="E258" s="278"/>
      <c r="F258" s="278"/>
      <c r="G258" s="278"/>
      <c r="H258" s="278"/>
      <c r="I258" s="278"/>
      <c r="J258" s="298"/>
      <c r="K258" s="298"/>
      <c r="L258" s="298"/>
      <c r="M258" s="314"/>
      <c r="N258" s="299"/>
      <c r="O258" s="299"/>
      <c r="P258" s="317"/>
      <c r="Q258" s="317"/>
      <c r="R258" s="317"/>
      <c r="S258" s="146"/>
      <c r="T258" s="146"/>
    </row>
    <row r="259" spans="1:20" s="139" customFormat="1" ht="29.1" customHeight="1" x14ac:dyDescent="0.3">
      <c r="A259" s="283"/>
      <c r="B259" s="283" t="s">
        <v>4</v>
      </c>
      <c r="C259" s="275"/>
      <c r="D259" s="275"/>
      <c r="E259" s="278">
        <f t="shared" ref="E259:L259" si="60">E260</f>
        <v>1</v>
      </c>
      <c r="F259" s="278">
        <f t="shared" si="60"/>
        <v>1</v>
      </c>
      <c r="G259" s="278">
        <f t="shared" si="60"/>
        <v>3</v>
      </c>
      <c r="H259" s="278">
        <f t="shared" si="60"/>
        <v>3</v>
      </c>
      <c r="I259" s="278">
        <f t="shared" si="60"/>
        <v>3</v>
      </c>
      <c r="J259" s="298">
        <f t="shared" si="60"/>
        <v>14400</v>
      </c>
      <c r="K259" s="298">
        <f t="shared" si="60"/>
        <v>23400</v>
      </c>
      <c r="L259" s="298">
        <f t="shared" si="60"/>
        <v>37800</v>
      </c>
      <c r="M259" s="314"/>
      <c r="N259" s="299"/>
      <c r="O259" s="299"/>
      <c r="P259" s="317"/>
      <c r="Q259" s="317"/>
      <c r="R259" s="317"/>
      <c r="S259" s="146"/>
      <c r="T259" s="146"/>
    </row>
    <row r="260" spans="1:20" s="139" customFormat="1" ht="51" customHeight="1" x14ac:dyDescent="0.3">
      <c r="A260" s="309">
        <v>1</v>
      </c>
      <c r="B260" s="302" t="s">
        <v>363</v>
      </c>
      <c r="C260" s="306" t="s">
        <v>364</v>
      </c>
      <c r="D260" s="306" t="s">
        <v>115</v>
      </c>
      <c r="E260" s="304">
        <v>1</v>
      </c>
      <c r="F260" s="304">
        <v>1</v>
      </c>
      <c r="G260" s="304">
        <v>3</v>
      </c>
      <c r="H260" s="304">
        <v>3</v>
      </c>
      <c r="I260" s="304">
        <v>3</v>
      </c>
      <c r="J260" s="343">
        <f>E260*I260*4800</f>
        <v>14400</v>
      </c>
      <c r="K260" s="343">
        <f>F260*H260*4800+F260*9000</f>
        <v>23400</v>
      </c>
      <c r="L260" s="343">
        <f>J260+K260</f>
        <v>37800</v>
      </c>
      <c r="M260" s="314"/>
      <c r="N260" s="299"/>
      <c r="O260" s="299"/>
      <c r="P260" s="317"/>
      <c r="Q260" s="317"/>
      <c r="R260" s="317"/>
      <c r="S260" s="146"/>
      <c r="T260" s="146"/>
    </row>
    <row r="261" spans="1:20" s="145" customFormat="1" ht="32.1" customHeight="1" x14ac:dyDescent="0.3">
      <c r="A261" s="278"/>
      <c r="B261" s="278" t="s">
        <v>173</v>
      </c>
      <c r="C261" s="278"/>
      <c r="D261" s="278"/>
      <c r="E261" s="278">
        <f t="shared" ref="E261:L261" si="61">E262</f>
        <v>1</v>
      </c>
      <c r="F261" s="278">
        <f t="shared" si="61"/>
        <v>1</v>
      </c>
      <c r="G261" s="278">
        <f t="shared" si="61"/>
        <v>3</v>
      </c>
      <c r="H261" s="278">
        <f t="shared" si="61"/>
        <v>3</v>
      </c>
      <c r="I261" s="278">
        <f t="shared" si="61"/>
        <v>3</v>
      </c>
      <c r="J261" s="298">
        <f t="shared" si="61"/>
        <v>14400</v>
      </c>
      <c r="K261" s="298">
        <f t="shared" si="61"/>
        <v>23400</v>
      </c>
      <c r="L261" s="298">
        <f t="shared" si="61"/>
        <v>37800</v>
      </c>
      <c r="M261" s="281"/>
      <c r="N261" s="307"/>
      <c r="O261" s="307"/>
      <c r="P261" s="319"/>
      <c r="Q261" s="319"/>
      <c r="R261" s="319"/>
      <c r="S261" s="147"/>
      <c r="T261" s="147"/>
    </row>
    <row r="262" spans="1:20" s="139" customFormat="1" ht="59.1" customHeight="1" x14ac:dyDescent="0.3">
      <c r="A262" s="304">
        <v>1</v>
      </c>
      <c r="B262" s="302" t="s">
        <v>365</v>
      </c>
      <c r="C262" s="299" t="s">
        <v>364</v>
      </c>
      <c r="D262" s="299" t="s">
        <v>115</v>
      </c>
      <c r="E262" s="304">
        <v>1</v>
      </c>
      <c r="F262" s="304">
        <v>1</v>
      </c>
      <c r="G262" s="304">
        <v>3</v>
      </c>
      <c r="H262" s="304">
        <v>3</v>
      </c>
      <c r="I262" s="304">
        <v>3</v>
      </c>
      <c r="J262" s="305">
        <f>E262*I262*4800</f>
        <v>14400</v>
      </c>
      <c r="K262" s="305">
        <f>F262*H262*4800+F262*9000</f>
        <v>23400</v>
      </c>
      <c r="L262" s="305">
        <f>J262+K262</f>
        <v>37800</v>
      </c>
      <c r="M262" s="314"/>
      <c r="N262" s="299"/>
      <c r="O262" s="299"/>
      <c r="P262" s="317"/>
      <c r="Q262" s="317"/>
      <c r="R262" s="317"/>
      <c r="S262" s="146"/>
      <c r="T262" s="146"/>
    </row>
    <row r="263" spans="1:20" s="134" customFormat="1" ht="26.4" x14ac:dyDescent="0.25">
      <c r="A263" s="283">
        <v>56</v>
      </c>
      <c r="B263" s="283" t="s">
        <v>366</v>
      </c>
      <c r="C263" s="288"/>
      <c r="D263" s="288"/>
      <c r="E263" s="283"/>
      <c r="F263" s="283"/>
      <c r="G263" s="283"/>
      <c r="H263" s="283"/>
      <c r="I263" s="283"/>
      <c r="J263" s="305">
        <f t="shared" ref="J263:J326" si="62">E263*I263*4800</f>
        <v>0</v>
      </c>
      <c r="K263" s="305">
        <f t="shared" ref="K263:K326" si="63">F263*H263*4800+F263*9000</f>
        <v>0</v>
      </c>
      <c r="L263" s="305">
        <f t="shared" ref="L263:L326" si="64">J263+K263</f>
        <v>0</v>
      </c>
      <c r="M263" s="315"/>
      <c r="N263" s="278"/>
      <c r="O263" s="278"/>
      <c r="P263" s="316"/>
      <c r="Q263" s="316"/>
      <c r="R263" s="316"/>
      <c r="S263" s="133"/>
      <c r="T263" s="133"/>
    </row>
    <row r="264" spans="1:20" s="145" customFormat="1" ht="15.6" x14ac:dyDescent="0.3">
      <c r="A264" s="278"/>
      <c r="B264" s="307" t="s">
        <v>175</v>
      </c>
      <c r="C264" s="278"/>
      <c r="D264" s="278"/>
      <c r="E264" s="278"/>
      <c r="F264" s="278"/>
      <c r="G264" s="278"/>
      <c r="H264" s="278"/>
      <c r="I264" s="384"/>
      <c r="J264" s="305">
        <f t="shared" si="62"/>
        <v>0</v>
      </c>
      <c r="K264" s="305">
        <f t="shared" si="63"/>
        <v>0</v>
      </c>
      <c r="L264" s="305">
        <f t="shared" si="64"/>
        <v>0</v>
      </c>
      <c r="M264" s="281"/>
      <c r="N264" s="307"/>
      <c r="O264" s="307"/>
      <c r="P264" s="319"/>
      <c r="Q264" s="319"/>
      <c r="R264" s="319"/>
      <c r="S264" s="147"/>
      <c r="T264" s="147"/>
    </row>
    <row r="265" spans="1:20" s="139" customFormat="1" ht="26.4" x14ac:dyDescent="0.3">
      <c r="A265" s="304">
        <v>1</v>
      </c>
      <c r="B265" s="299" t="s">
        <v>367</v>
      </c>
      <c r="C265" s="693" t="s">
        <v>100</v>
      </c>
      <c r="D265" s="693" t="s">
        <v>368</v>
      </c>
      <c r="E265" s="304">
        <v>1</v>
      </c>
      <c r="F265" s="304">
        <v>1</v>
      </c>
      <c r="G265" s="304">
        <v>6</v>
      </c>
      <c r="H265" s="304">
        <v>3</v>
      </c>
      <c r="I265" s="304">
        <v>3</v>
      </c>
      <c r="J265" s="305">
        <f t="shared" si="62"/>
        <v>14400</v>
      </c>
      <c r="K265" s="305">
        <f t="shared" si="63"/>
        <v>23400</v>
      </c>
      <c r="L265" s="305">
        <f t="shared" si="64"/>
        <v>37800</v>
      </c>
      <c r="M265" s="314"/>
      <c r="N265" s="299"/>
      <c r="O265" s="299"/>
      <c r="P265" s="317"/>
      <c r="Q265" s="317"/>
      <c r="R265" s="317"/>
      <c r="S265" s="146"/>
      <c r="T265" s="146"/>
    </row>
    <row r="266" spans="1:20" s="139" customFormat="1" ht="39.6" x14ac:dyDescent="0.3">
      <c r="A266" s="304">
        <v>2</v>
      </c>
      <c r="B266" s="299" t="s">
        <v>369</v>
      </c>
      <c r="C266" s="704"/>
      <c r="D266" s="704"/>
      <c r="E266" s="304">
        <v>1</v>
      </c>
      <c r="F266" s="304">
        <v>1</v>
      </c>
      <c r="G266" s="304">
        <v>6</v>
      </c>
      <c r="H266" s="304">
        <v>3</v>
      </c>
      <c r="I266" s="304">
        <v>3</v>
      </c>
      <c r="J266" s="305">
        <f t="shared" si="62"/>
        <v>14400</v>
      </c>
      <c r="K266" s="305">
        <f t="shared" si="63"/>
        <v>23400</v>
      </c>
      <c r="L266" s="305">
        <f t="shared" si="64"/>
        <v>37800</v>
      </c>
      <c r="M266" s="314"/>
      <c r="N266" s="299"/>
      <c r="O266" s="299"/>
      <c r="P266" s="317"/>
      <c r="Q266" s="317"/>
      <c r="R266" s="317"/>
      <c r="S266" s="146"/>
      <c r="T266" s="146"/>
    </row>
    <row r="267" spans="1:20" s="145" customFormat="1" ht="15.6" x14ac:dyDescent="0.3">
      <c r="A267" s="278"/>
      <c r="B267" s="307" t="s">
        <v>177</v>
      </c>
      <c r="C267" s="278"/>
      <c r="D267" s="278"/>
      <c r="E267" s="278"/>
      <c r="F267" s="278"/>
      <c r="G267" s="278"/>
      <c r="H267" s="278"/>
      <c r="I267" s="384"/>
      <c r="J267" s="305">
        <f t="shared" si="62"/>
        <v>0</v>
      </c>
      <c r="K267" s="305">
        <f t="shared" si="63"/>
        <v>0</v>
      </c>
      <c r="L267" s="305">
        <f t="shared" si="64"/>
        <v>0</v>
      </c>
      <c r="M267" s="281"/>
      <c r="N267" s="307"/>
      <c r="O267" s="307"/>
      <c r="P267" s="319"/>
      <c r="Q267" s="319"/>
      <c r="R267" s="319"/>
      <c r="S267" s="147"/>
      <c r="T267" s="147"/>
    </row>
    <row r="268" spans="1:20" s="139" customFormat="1" ht="26.4" x14ac:dyDescent="0.3">
      <c r="A268" s="304">
        <v>1</v>
      </c>
      <c r="B268" s="299" t="s">
        <v>370</v>
      </c>
      <c r="C268" s="693" t="s">
        <v>100</v>
      </c>
      <c r="D268" s="693" t="s">
        <v>368</v>
      </c>
      <c r="E268" s="304">
        <v>1</v>
      </c>
      <c r="F268" s="304">
        <v>1</v>
      </c>
      <c r="G268" s="304">
        <v>6</v>
      </c>
      <c r="H268" s="304">
        <v>3</v>
      </c>
      <c r="I268" s="304">
        <v>3</v>
      </c>
      <c r="J268" s="305">
        <f t="shared" si="62"/>
        <v>14400</v>
      </c>
      <c r="K268" s="305">
        <f t="shared" si="63"/>
        <v>23400</v>
      </c>
      <c r="L268" s="305">
        <f t="shared" si="64"/>
        <v>37800</v>
      </c>
      <c r="M268" s="314"/>
      <c r="N268" s="299"/>
      <c r="O268" s="299"/>
      <c r="P268" s="317"/>
      <c r="Q268" s="317"/>
      <c r="R268" s="317"/>
      <c r="S268" s="146"/>
      <c r="T268" s="146"/>
    </row>
    <row r="269" spans="1:20" s="139" customFormat="1" ht="26.4" x14ac:dyDescent="0.3">
      <c r="A269" s="304">
        <v>2</v>
      </c>
      <c r="B269" s="299" t="s">
        <v>371</v>
      </c>
      <c r="C269" s="694"/>
      <c r="D269" s="694"/>
      <c r="E269" s="304">
        <v>1</v>
      </c>
      <c r="F269" s="304">
        <v>1</v>
      </c>
      <c r="G269" s="304">
        <v>6</v>
      </c>
      <c r="H269" s="304">
        <v>3</v>
      </c>
      <c r="I269" s="304">
        <v>3</v>
      </c>
      <c r="J269" s="305">
        <f t="shared" si="62"/>
        <v>14400</v>
      </c>
      <c r="K269" s="305">
        <f t="shared" si="63"/>
        <v>23400</v>
      </c>
      <c r="L269" s="305">
        <f t="shared" si="64"/>
        <v>37800</v>
      </c>
      <c r="M269" s="314"/>
      <c r="N269" s="299"/>
      <c r="O269" s="299"/>
      <c r="P269" s="317"/>
      <c r="Q269" s="317"/>
      <c r="R269" s="317"/>
      <c r="S269" s="146"/>
      <c r="T269" s="146"/>
    </row>
    <row r="270" spans="1:20" s="145" customFormat="1" ht="15.6" x14ac:dyDescent="0.3">
      <c r="A270" s="278"/>
      <c r="B270" s="307" t="s">
        <v>192</v>
      </c>
      <c r="C270" s="278"/>
      <c r="D270" s="278"/>
      <c r="E270" s="278"/>
      <c r="F270" s="278"/>
      <c r="G270" s="278"/>
      <c r="H270" s="278"/>
      <c r="I270" s="384"/>
      <c r="J270" s="305">
        <f t="shared" si="62"/>
        <v>0</v>
      </c>
      <c r="K270" s="305">
        <f t="shared" si="63"/>
        <v>0</v>
      </c>
      <c r="L270" s="305">
        <f t="shared" si="64"/>
        <v>0</v>
      </c>
      <c r="M270" s="281"/>
      <c r="N270" s="307"/>
      <c r="O270" s="307"/>
      <c r="P270" s="319"/>
      <c r="Q270" s="319"/>
      <c r="R270" s="319"/>
      <c r="S270" s="147"/>
      <c r="T270" s="147"/>
    </row>
    <row r="271" spans="1:20" s="139" customFormat="1" ht="26.4" x14ac:dyDescent="0.3">
      <c r="A271" s="304">
        <v>1</v>
      </c>
      <c r="B271" s="299" t="s">
        <v>372</v>
      </c>
      <c r="C271" s="303" t="s">
        <v>100</v>
      </c>
      <c r="D271" s="303" t="s">
        <v>368</v>
      </c>
      <c r="E271" s="304">
        <v>1</v>
      </c>
      <c r="F271" s="304">
        <v>1</v>
      </c>
      <c r="G271" s="304">
        <v>6</v>
      </c>
      <c r="H271" s="304">
        <v>3</v>
      </c>
      <c r="I271" s="304">
        <v>3</v>
      </c>
      <c r="J271" s="305">
        <f t="shared" si="62"/>
        <v>14400</v>
      </c>
      <c r="K271" s="305">
        <f t="shared" si="63"/>
        <v>23400</v>
      </c>
      <c r="L271" s="305">
        <f t="shared" si="64"/>
        <v>37800</v>
      </c>
      <c r="M271" s="314"/>
      <c r="N271" s="299"/>
      <c r="O271" s="299"/>
      <c r="P271" s="317"/>
      <c r="Q271" s="317"/>
      <c r="R271" s="317"/>
      <c r="S271" s="146"/>
      <c r="T271" s="146"/>
    </row>
    <row r="272" spans="1:20" s="168" customFormat="1" ht="26.4" x14ac:dyDescent="0.25">
      <c r="A272" s="283">
        <v>57</v>
      </c>
      <c r="B272" s="283" t="s">
        <v>373</v>
      </c>
      <c r="C272" s="288"/>
      <c r="D272" s="288"/>
      <c r="E272" s="283"/>
      <c r="F272" s="283"/>
      <c r="G272" s="283"/>
      <c r="H272" s="283"/>
      <c r="I272" s="283"/>
      <c r="J272" s="305">
        <f t="shared" si="62"/>
        <v>0</v>
      </c>
      <c r="K272" s="305">
        <f t="shared" si="63"/>
        <v>0</v>
      </c>
      <c r="L272" s="305">
        <f t="shared" si="64"/>
        <v>0</v>
      </c>
      <c r="M272" s="315"/>
      <c r="N272" s="278"/>
      <c r="O272" s="278"/>
      <c r="P272" s="316"/>
      <c r="Q272" s="316"/>
      <c r="R272" s="316"/>
      <c r="S272" s="167"/>
      <c r="T272" s="167"/>
    </row>
    <row r="273" spans="1:20" s="170" customFormat="1" ht="30" customHeight="1" x14ac:dyDescent="0.3">
      <c r="A273" s="283" t="s">
        <v>168</v>
      </c>
      <c r="B273" s="296" t="s">
        <v>169</v>
      </c>
      <c r="C273" s="275"/>
      <c r="D273" s="275"/>
      <c r="E273" s="278"/>
      <c r="F273" s="278"/>
      <c r="G273" s="278"/>
      <c r="H273" s="278"/>
      <c r="I273" s="278"/>
      <c r="J273" s="305">
        <f t="shared" si="62"/>
        <v>0</v>
      </c>
      <c r="K273" s="305">
        <f t="shared" si="63"/>
        <v>0</v>
      </c>
      <c r="L273" s="305">
        <f t="shared" si="64"/>
        <v>0</v>
      </c>
      <c r="M273" s="314"/>
      <c r="N273" s="299"/>
      <c r="O273" s="299"/>
      <c r="P273" s="317"/>
      <c r="Q273" s="317"/>
      <c r="R273" s="317"/>
      <c r="S273" s="169"/>
      <c r="T273" s="169"/>
    </row>
    <row r="274" spans="1:20" s="172" customFormat="1" ht="15.6" x14ac:dyDescent="0.3">
      <c r="A274" s="278"/>
      <c r="B274" s="307" t="s">
        <v>177</v>
      </c>
      <c r="C274" s="303">
        <v>0</v>
      </c>
      <c r="D274" s="303">
        <v>0</v>
      </c>
      <c r="E274" s="303">
        <v>0</v>
      </c>
      <c r="F274" s="303">
        <v>0</v>
      </c>
      <c r="G274" s="303">
        <v>0</v>
      </c>
      <c r="H274" s="303">
        <v>0</v>
      </c>
      <c r="I274" s="303">
        <v>0</v>
      </c>
      <c r="J274" s="305">
        <f t="shared" si="62"/>
        <v>0</v>
      </c>
      <c r="K274" s="305">
        <f t="shared" si="63"/>
        <v>0</v>
      </c>
      <c r="L274" s="305">
        <f t="shared" si="64"/>
        <v>0</v>
      </c>
      <c r="M274" s="314"/>
      <c r="N274" s="299"/>
      <c r="O274" s="299"/>
      <c r="P274" s="319"/>
      <c r="Q274" s="319"/>
      <c r="R274" s="319"/>
      <c r="S274" s="171"/>
      <c r="T274" s="171"/>
    </row>
    <row r="275" spans="1:20" s="170" customFormat="1" ht="126" customHeight="1" x14ac:dyDescent="0.3">
      <c r="A275" s="304">
        <v>1</v>
      </c>
      <c r="B275" s="299" t="s">
        <v>374</v>
      </c>
      <c r="C275" s="304" t="s">
        <v>247</v>
      </c>
      <c r="D275" s="304" t="s">
        <v>373</v>
      </c>
      <c r="E275" s="304">
        <v>1</v>
      </c>
      <c r="F275" s="304">
        <v>4</v>
      </c>
      <c r="G275" s="304">
        <v>3</v>
      </c>
      <c r="H275" s="304">
        <v>2</v>
      </c>
      <c r="I275" s="390">
        <v>1</v>
      </c>
      <c r="J275" s="305">
        <f t="shared" si="62"/>
        <v>4800</v>
      </c>
      <c r="K275" s="305">
        <f t="shared" si="63"/>
        <v>74400</v>
      </c>
      <c r="L275" s="305">
        <f t="shared" si="64"/>
        <v>79200</v>
      </c>
      <c r="M275" s="314"/>
      <c r="N275" s="299"/>
      <c r="O275" s="299"/>
      <c r="P275" s="317"/>
      <c r="Q275" s="317">
        <v>6</v>
      </c>
      <c r="R275" s="317"/>
      <c r="S275" s="169"/>
      <c r="T275" s="169"/>
    </row>
    <row r="276" spans="1:20" s="134" customFormat="1" ht="26.4" x14ac:dyDescent="0.25">
      <c r="A276" s="278">
        <v>58</v>
      </c>
      <c r="B276" s="278" t="s">
        <v>375</v>
      </c>
      <c r="C276" s="278"/>
      <c r="D276" s="278"/>
      <c r="E276" s="278"/>
      <c r="F276" s="278"/>
      <c r="G276" s="278"/>
      <c r="H276" s="278"/>
      <c r="I276" s="278"/>
      <c r="J276" s="305">
        <f t="shared" si="62"/>
        <v>0</v>
      </c>
      <c r="K276" s="305">
        <f t="shared" si="63"/>
        <v>0</v>
      </c>
      <c r="L276" s="305">
        <f t="shared" si="64"/>
        <v>0</v>
      </c>
      <c r="M276" s="276"/>
      <c r="N276" s="278"/>
      <c r="O276" s="278"/>
      <c r="P276" s="316"/>
      <c r="Q276" s="316"/>
      <c r="R276" s="316"/>
      <c r="S276" s="133"/>
      <c r="T276" s="133"/>
    </row>
    <row r="277" spans="1:20" s="139" customFormat="1" ht="26.4" x14ac:dyDescent="0.3">
      <c r="A277" s="278" t="s">
        <v>168</v>
      </c>
      <c r="B277" s="311" t="s">
        <v>169</v>
      </c>
      <c r="C277" s="278"/>
      <c r="D277" s="278"/>
      <c r="E277" s="278"/>
      <c r="F277" s="278"/>
      <c r="G277" s="278"/>
      <c r="H277" s="278"/>
      <c r="I277" s="278"/>
      <c r="J277" s="305">
        <f t="shared" si="62"/>
        <v>0</v>
      </c>
      <c r="K277" s="305">
        <f t="shared" si="63"/>
        <v>0</v>
      </c>
      <c r="L277" s="305">
        <f t="shared" si="64"/>
        <v>0</v>
      </c>
      <c r="M277" s="314"/>
      <c r="N277" s="299"/>
      <c r="O277" s="299"/>
      <c r="P277" s="317"/>
      <c r="Q277" s="317"/>
      <c r="R277" s="317"/>
      <c r="S277" s="146"/>
      <c r="T277" s="146"/>
    </row>
    <row r="278" spans="1:20" s="139" customFormat="1" ht="15.6" x14ac:dyDescent="0.3">
      <c r="A278" s="278"/>
      <c r="B278" s="311" t="s">
        <v>4</v>
      </c>
      <c r="C278" s="278"/>
      <c r="D278" s="278"/>
      <c r="E278" s="278"/>
      <c r="F278" s="278"/>
      <c r="G278" s="278"/>
      <c r="H278" s="278"/>
      <c r="I278" s="278"/>
      <c r="J278" s="305">
        <f t="shared" si="62"/>
        <v>0</v>
      </c>
      <c r="K278" s="305">
        <f t="shared" si="63"/>
        <v>0</v>
      </c>
      <c r="L278" s="305">
        <f t="shared" si="64"/>
        <v>0</v>
      </c>
      <c r="M278" s="314"/>
      <c r="N278" s="299"/>
      <c r="O278" s="299"/>
      <c r="P278" s="317"/>
      <c r="Q278" s="319">
        <f>Q279+Q280</f>
        <v>33</v>
      </c>
      <c r="R278" s="317"/>
      <c r="S278" s="146"/>
      <c r="T278" s="146"/>
    </row>
    <row r="279" spans="1:20" s="139" customFormat="1" ht="87.75" customHeight="1" x14ac:dyDescent="0.3">
      <c r="A279" s="304">
        <v>1</v>
      </c>
      <c r="B279" s="334" t="s">
        <v>69</v>
      </c>
      <c r="C279" s="299" t="s">
        <v>364</v>
      </c>
      <c r="D279" s="299" t="s">
        <v>135</v>
      </c>
      <c r="E279" s="304">
        <v>2</v>
      </c>
      <c r="F279" s="304">
        <v>5</v>
      </c>
      <c r="G279" s="304">
        <v>3</v>
      </c>
      <c r="H279" s="304">
        <v>3</v>
      </c>
      <c r="I279" s="400"/>
      <c r="J279" s="305">
        <f t="shared" si="62"/>
        <v>0</v>
      </c>
      <c r="K279" s="305">
        <f t="shared" si="63"/>
        <v>117000</v>
      </c>
      <c r="L279" s="305">
        <f t="shared" si="64"/>
        <v>117000</v>
      </c>
      <c r="M279" s="314" t="s">
        <v>376</v>
      </c>
      <c r="N279" s="299"/>
      <c r="O279" s="299"/>
      <c r="P279" s="317"/>
      <c r="Q279" s="317">
        <v>12</v>
      </c>
      <c r="R279" s="317"/>
      <c r="S279" s="146"/>
      <c r="T279" s="146"/>
    </row>
    <row r="280" spans="1:20" s="139" customFormat="1" ht="81.75" customHeight="1" x14ac:dyDescent="0.3">
      <c r="A280" s="304">
        <v>2</v>
      </c>
      <c r="B280" s="299" t="s">
        <v>377</v>
      </c>
      <c r="C280" s="304" t="s">
        <v>247</v>
      </c>
      <c r="D280" s="304" t="s">
        <v>135</v>
      </c>
      <c r="E280" s="304">
        <v>2</v>
      </c>
      <c r="F280" s="304">
        <v>8</v>
      </c>
      <c r="G280" s="304">
        <v>3</v>
      </c>
      <c r="H280" s="304">
        <v>3</v>
      </c>
      <c r="I280" s="401"/>
      <c r="J280" s="305">
        <f t="shared" si="62"/>
        <v>0</v>
      </c>
      <c r="K280" s="305">
        <f t="shared" si="63"/>
        <v>187200</v>
      </c>
      <c r="L280" s="305">
        <f t="shared" si="64"/>
        <v>187200</v>
      </c>
      <c r="M280" s="314" t="s">
        <v>378</v>
      </c>
      <c r="N280" s="299"/>
      <c r="O280" s="299"/>
      <c r="P280" s="317"/>
      <c r="Q280" s="317">
        <v>21</v>
      </c>
      <c r="R280" s="317"/>
      <c r="S280" s="146"/>
      <c r="T280" s="146"/>
    </row>
    <row r="281" spans="1:20" s="139" customFormat="1" ht="15.6" x14ac:dyDescent="0.3">
      <c r="A281" s="278"/>
      <c r="B281" s="307" t="s">
        <v>173</v>
      </c>
      <c r="C281" s="278"/>
      <c r="D281" s="278"/>
      <c r="E281" s="278"/>
      <c r="F281" s="278"/>
      <c r="G281" s="278"/>
      <c r="H281" s="278"/>
      <c r="I281" s="384"/>
      <c r="J281" s="305">
        <f t="shared" si="62"/>
        <v>0</v>
      </c>
      <c r="K281" s="305">
        <f t="shared" si="63"/>
        <v>0</v>
      </c>
      <c r="L281" s="305">
        <f t="shared" si="64"/>
        <v>0</v>
      </c>
      <c r="M281" s="281"/>
      <c r="N281" s="307"/>
      <c r="O281" s="307"/>
      <c r="P281" s="317"/>
      <c r="Q281" s="317"/>
      <c r="R281" s="317"/>
      <c r="S281" s="146"/>
      <c r="T281" s="146"/>
    </row>
    <row r="282" spans="1:20" s="139" customFormat="1" ht="92.4" x14ac:dyDescent="0.3">
      <c r="A282" s="304">
        <v>1</v>
      </c>
      <c r="B282" s="299" t="s">
        <v>379</v>
      </c>
      <c r="C282" s="299" t="s">
        <v>364</v>
      </c>
      <c r="D282" s="299" t="s">
        <v>135</v>
      </c>
      <c r="E282" s="304">
        <v>3</v>
      </c>
      <c r="F282" s="304">
        <v>3</v>
      </c>
      <c r="G282" s="304">
        <v>3</v>
      </c>
      <c r="H282" s="304">
        <v>3</v>
      </c>
      <c r="I282" s="401"/>
      <c r="J282" s="305">
        <f t="shared" si="62"/>
        <v>0</v>
      </c>
      <c r="K282" s="305">
        <f t="shared" si="63"/>
        <v>70200</v>
      </c>
      <c r="L282" s="305">
        <f t="shared" si="64"/>
        <v>70200</v>
      </c>
      <c r="M282" s="314" t="s">
        <v>380</v>
      </c>
      <c r="N282" s="299"/>
      <c r="O282" s="299"/>
      <c r="P282" s="317"/>
      <c r="Q282" s="317">
        <v>6</v>
      </c>
      <c r="R282" s="317"/>
      <c r="S282" s="146"/>
      <c r="T282" s="146"/>
    </row>
    <row r="283" spans="1:20" s="145" customFormat="1" ht="15.6" x14ac:dyDescent="0.3">
      <c r="A283" s="278"/>
      <c r="B283" s="307" t="s">
        <v>175</v>
      </c>
      <c r="C283" s="278"/>
      <c r="D283" s="278"/>
      <c r="E283" s="278"/>
      <c r="F283" s="278"/>
      <c r="G283" s="278"/>
      <c r="H283" s="278"/>
      <c r="I283" s="384"/>
      <c r="J283" s="305">
        <f t="shared" si="62"/>
        <v>0</v>
      </c>
      <c r="K283" s="305">
        <f t="shared" si="63"/>
        <v>0</v>
      </c>
      <c r="L283" s="305">
        <f t="shared" si="64"/>
        <v>0</v>
      </c>
      <c r="M283" s="281"/>
      <c r="N283" s="307"/>
      <c r="O283" s="307"/>
      <c r="P283" s="319"/>
      <c r="Q283" s="319"/>
      <c r="R283" s="319"/>
      <c r="S283" s="147"/>
      <c r="T283" s="147"/>
    </row>
    <row r="284" spans="1:20" s="139" customFormat="1" ht="79.2" x14ac:dyDescent="0.3">
      <c r="A284" s="304">
        <v>1</v>
      </c>
      <c r="B284" s="299" t="s">
        <v>381</v>
      </c>
      <c r="C284" s="304" t="s">
        <v>382</v>
      </c>
      <c r="D284" s="304" t="s">
        <v>135</v>
      </c>
      <c r="E284" s="304">
        <v>3</v>
      </c>
      <c r="F284" s="304">
        <v>3</v>
      </c>
      <c r="G284" s="304">
        <v>3</v>
      </c>
      <c r="H284" s="304">
        <v>3</v>
      </c>
      <c r="I284" s="401"/>
      <c r="J284" s="305">
        <f t="shared" si="62"/>
        <v>0</v>
      </c>
      <c r="K284" s="305">
        <f t="shared" si="63"/>
        <v>70200</v>
      </c>
      <c r="L284" s="305">
        <f t="shared" si="64"/>
        <v>70200</v>
      </c>
      <c r="M284" s="314" t="s">
        <v>383</v>
      </c>
      <c r="N284" s="299"/>
      <c r="O284" s="299"/>
      <c r="P284" s="317"/>
      <c r="Q284" s="317">
        <v>6</v>
      </c>
      <c r="R284" s="317"/>
      <c r="S284" s="146"/>
      <c r="T284" s="146"/>
    </row>
    <row r="285" spans="1:20" s="139" customFormat="1" ht="15.6" x14ac:dyDescent="0.3">
      <c r="A285" s="278"/>
      <c r="B285" s="307" t="s">
        <v>177</v>
      </c>
      <c r="C285" s="278"/>
      <c r="D285" s="278"/>
      <c r="E285" s="278"/>
      <c r="F285" s="278"/>
      <c r="G285" s="278"/>
      <c r="H285" s="278"/>
      <c r="I285" s="384"/>
      <c r="J285" s="305">
        <f t="shared" si="62"/>
        <v>0</v>
      </c>
      <c r="K285" s="305">
        <f t="shared" si="63"/>
        <v>0</v>
      </c>
      <c r="L285" s="305">
        <f t="shared" si="64"/>
        <v>0</v>
      </c>
      <c r="M285" s="281"/>
      <c r="N285" s="307"/>
      <c r="O285" s="307"/>
      <c r="P285" s="317"/>
      <c r="Q285" s="317"/>
      <c r="R285" s="317"/>
      <c r="S285" s="146"/>
      <c r="T285" s="146"/>
    </row>
    <row r="286" spans="1:20" s="139" customFormat="1" ht="63" customHeight="1" x14ac:dyDescent="0.3">
      <c r="A286" s="304">
        <v>1</v>
      </c>
      <c r="B286" s="299" t="s">
        <v>384</v>
      </c>
      <c r="C286" s="304" t="s">
        <v>364</v>
      </c>
      <c r="D286" s="304" t="s">
        <v>135</v>
      </c>
      <c r="E286" s="304">
        <v>3</v>
      </c>
      <c r="F286" s="304">
        <v>3</v>
      </c>
      <c r="G286" s="304">
        <v>3</v>
      </c>
      <c r="H286" s="304">
        <v>3</v>
      </c>
      <c r="I286" s="401"/>
      <c r="J286" s="305">
        <f t="shared" si="62"/>
        <v>0</v>
      </c>
      <c r="K286" s="305">
        <f t="shared" si="63"/>
        <v>70200</v>
      </c>
      <c r="L286" s="305">
        <f t="shared" si="64"/>
        <v>70200</v>
      </c>
      <c r="M286" s="314" t="s">
        <v>385</v>
      </c>
      <c r="N286" s="299"/>
      <c r="O286" s="299"/>
      <c r="P286" s="317"/>
      <c r="Q286" s="317">
        <v>6</v>
      </c>
      <c r="R286" s="317"/>
      <c r="S286" s="146"/>
      <c r="T286" s="146"/>
    </row>
    <row r="287" spans="1:20" s="145" customFormat="1" ht="15.6" x14ac:dyDescent="0.3">
      <c r="A287" s="278"/>
      <c r="B287" s="307" t="s">
        <v>192</v>
      </c>
      <c r="C287" s="278"/>
      <c r="D287" s="278"/>
      <c r="E287" s="278"/>
      <c r="F287" s="278"/>
      <c r="G287" s="278"/>
      <c r="H287" s="278"/>
      <c r="I287" s="384"/>
      <c r="J287" s="305">
        <f t="shared" si="62"/>
        <v>0</v>
      </c>
      <c r="K287" s="305">
        <f t="shared" si="63"/>
        <v>0</v>
      </c>
      <c r="L287" s="305">
        <f t="shared" si="64"/>
        <v>0</v>
      </c>
      <c r="M287" s="281"/>
      <c r="N287" s="307"/>
      <c r="O287" s="307"/>
      <c r="P287" s="319"/>
      <c r="Q287" s="319"/>
      <c r="R287" s="319"/>
      <c r="S287" s="147"/>
      <c r="T287" s="147"/>
    </row>
    <row r="288" spans="1:20" s="139" customFormat="1" ht="105.6" x14ac:dyDescent="0.3">
      <c r="A288" s="304">
        <v>1</v>
      </c>
      <c r="B288" s="299" t="s">
        <v>386</v>
      </c>
      <c r="C288" s="304" t="s">
        <v>247</v>
      </c>
      <c r="D288" s="304" t="s">
        <v>135</v>
      </c>
      <c r="E288" s="304">
        <v>2</v>
      </c>
      <c r="F288" s="304">
        <v>2</v>
      </c>
      <c r="G288" s="304">
        <v>3</v>
      </c>
      <c r="H288" s="304">
        <v>3</v>
      </c>
      <c r="I288" s="401"/>
      <c r="J288" s="305">
        <f t="shared" si="62"/>
        <v>0</v>
      </c>
      <c r="K288" s="305">
        <f t="shared" si="63"/>
        <v>46800</v>
      </c>
      <c r="L288" s="305">
        <f t="shared" si="64"/>
        <v>46800</v>
      </c>
      <c r="M288" s="314" t="s">
        <v>387</v>
      </c>
      <c r="N288" s="299"/>
      <c r="O288" s="299"/>
      <c r="P288" s="317"/>
      <c r="Q288" s="317">
        <v>3</v>
      </c>
      <c r="R288" s="317"/>
      <c r="S288" s="146"/>
      <c r="T288" s="146"/>
    </row>
    <row r="289" spans="1:20" s="134" customFormat="1" ht="26.4" x14ac:dyDescent="0.25">
      <c r="A289" s="283">
        <v>59</v>
      </c>
      <c r="B289" s="283" t="s">
        <v>388</v>
      </c>
      <c r="C289" s="288"/>
      <c r="D289" s="288"/>
      <c r="E289" s="283"/>
      <c r="F289" s="283"/>
      <c r="G289" s="283"/>
      <c r="H289" s="283"/>
      <c r="I289" s="283"/>
      <c r="J289" s="305">
        <f t="shared" si="62"/>
        <v>0</v>
      </c>
      <c r="K289" s="305">
        <f t="shared" si="63"/>
        <v>0</v>
      </c>
      <c r="L289" s="305">
        <f t="shared" si="64"/>
        <v>0</v>
      </c>
      <c r="M289" s="315"/>
      <c r="N289" s="278"/>
      <c r="O289" s="278"/>
      <c r="P289" s="316"/>
      <c r="Q289" s="316"/>
      <c r="R289" s="316"/>
      <c r="S289" s="133"/>
      <c r="T289" s="133"/>
    </row>
    <row r="290" spans="1:20" s="139" customFormat="1" ht="26.4" x14ac:dyDescent="0.3">
      <c r="A290" s="283" t="s">
        <v>168</v>
      </c>
      <c r="B290" s="296" t="s">
        <v>169</v>
      </c>
      <c r="C290" s="275"/>
      <c r="D290" s="275"/>
      <c r="E290" s="278"/>
      <c r="F290" s="278"/>
      <c r="G290" s="278"/>
      <c r="H290" s="278"/>
      <c r="I290" s="278"/>
      <c r="J290" s="305">
        <f t="shared" si="62"/>
        <v>0</v>
      </c>
      <c r="K290" s="305">
        <f t="shared" si="63"/>
        <v>0</v>
      </c>
      <c r="L290" s="305">
        <f t="shared" si="64"/>
        <v>0</v>
      </c>
      <c r="M290" s="314"/>
      <c r="N290" s="299"/>
      <c r="O290" s="299"/>
      <c r="P290" s="317"/>
      <c r="Q290" s="317"/>
      <c r="R290" s="317"/>
      <c r="S290" s="146"/>
      <c r="T290" s="146"/>
    </row>
    <row r="291" spans="1:20" s="139" customFormat="1" ht="15.6" x14ac:dyDescent="0.3">
      <c r="A291" s="283"/>
      <c r="B291" s="296" t="s">
        <v>6</v>
      </c>
      <c r="C291" s="275"/>
      <c r="D291" s="275"/>
      <c r="E291" s="278"/>
      <c r="F291" s="278"/>
      <c r="G291" s="278"/>
      <c r="H291" s="278"/>
      <c r="I291" s="278"/>
      <c r="J291" s="305">
        <f t="shared" si="62"/>
        <v>0</v>
      </c>
      <c r="K291" s="305">
        <f t="shared" si="63"/>
        <v>0</v>
      </c>
      <c r="L291" s="305">
        <f t="shared" si="64"/>
        <v>0</v>
      </c>
      <c r="M291" s="314"/>
      <c r="N291" s="299"/>
      <c r="O291" s="299"/>
      <c r="P291" s="317"/>
      <c r="Q291" s="317"/>
      <c r="R291" s="317"/>
      <c r="S291" s="146"/>
      <c r="T291" s="146"/>
    </row>
    <row r="292" spans="1:20" s="139" customFormat="1" ht="39.6" x14ac:dyDescent="0.3">
      <c r="A292" s="309">
        <v>1</v>
      </c>
      <c r="B292" s="302" t="s">
        <v>389</v>
      </c>
      <c r="C292" s="303" t="s">
        <v>63</v>
      </c>
      <c r="D292" s="303" t="s">
        <v>390</v>
      </c>
      <c r="E292" s="304">
        <v>1</v>
      </c>
      <c r="F292" s="304">
        <v>1</v>
      </c>
      <c r="G292" s="304">
        <v>3</v>
      </c>
      <c r="H292" s="304">
        <v>3</v>
      </c>
      <c r="I292" s="401"/>
      <c r="J292" s="305">
        <f t="shared" si="62"/>
        <v>0</v>
      </c>
      <c r="K292" s="305">
        <f t="shared" si="63"/>
        <v>23400</v>
      </c>
      <c r="L292" s="305">
        <f t="shared" si="64"/>
        <v>23400</v>
      </c>
      <c r="M292" s="314"/>
      <c r="N292" s="299"/>
      <c r="O292" s="299"/>
      <c r="P292" s="317"/>
      <c r="Q292" s="317"/>
      <c r="R292" s="317"/>
      <c r="S292" s="146"/>
      <c r="T292" s="146"/>
    </row>
    <row r="293" spans="1:20" s="134" customFormat="1" ht="13.8" x14ac:dyDescent="0.25">
      <c r="A293" s="283">
        <v>60</v>
      </c>
      <c r="B293" s="283" t="s">
        <v>144</v>
      </c>
      <c r="C293" s="288"/>
      <c r="D293" s="288"/>
      <c r="E293" s="283"/>
      <c r="F293" s="283"/>
      <c r="G293" s="283"/>
      <c r="H293" s="283"/>
      <c r="I293" s="283"/>
      <c r="J293" s="305">
        <f t="shared" si="62"/>
        <v>0</v>
      </c>
      <c r="K293" s="305">
        <f t="shared" si="63"/>
        <v>0</v>
      </c>
      <c r="L293" s="305">
        <f t="shared" si="64"/>
        <v>0</v>
      </c>
      <c r="M293" s="315"/>
      <c r="N293" s="278"/>
      <c r="O293" s="278"/>
      <c r="P293" s="316"/>
      <c r="Q293" s="316"/>
      <c r="R293" s="316"/>
      <c r="S293" s="133"/>
      <c r="T293" s="133"/>
    </row>
    <row r="294" spans="1:20" s="139" customFormat="1" ht="26.4" x14ac:dyDescent="0.3">
      <c r="A294" s="283" t="s">
        <v>168</v>
      </c>
      <c r="B294" s="296" t="s">
        <v>169</v>
      </c>
      <c r="C294" s="275"/>
      <c r="D294" s="275"/>
      <c r="E294" s="278"/>
      <c r="F294" s="278"/>
      <c r="G294" s="278"/>
      <c r="H294" s="278"/>
      <c r="I294" s="278"/>
      <c r="J294" s="305">
        <f t="shared" si="62"/>
        <v>0</v>
      </c>
      <c r="K294" s="305">
        <f t="shared" si="63"/>
        <v>0</v>
      </c>
      <c r="L294" s="305">
        <f t="shared" si="64"/>
        <v>0</v>
      </c>
      <c r="M294" s="314"/>
      <c r="N294" s="299"/>
      <c r="O294" s="299"/>
      <c r="P294" s="317"/>
      <c r="Q294" s="317"/>
      <c r="R294" s="317"/>
      <c r="S294" s="146"/>
      <c r="T294" s="146"/>
    </row>
    <row r="295" spans="1:20" s="139" customFormat="1" ht="15.6" x14ac:dyDescent="0.3">
      <c r="A295" s="283"/>
      <c r="B295" s="296" t="s">
        <v>8</v>
      </c>
      <c r="C295" s="275"/>
      <c r="D295" s="275"/>
      <c r="E295" s="278"/>
      <c r="F295" s="278"/>
      <c r="G295" s="278"/>
      <c r="H295" s="278"/>
      <c r="I295" s="278"/>
      <c r="J295" s="305">
        <f t="shared" si="62"/>
        <v>0</v>
      </c>
      <c r="K295" s="305">
        <f t="shared" si="63"/>
        <v>0</v>
      </c>
      <c r="L295" s="305">
        <f t="shared" si="64"/>
        <v>0</v>
      </c>
      <c r="M295" s="314"/>
      <c r="N295" s="299"/>
      <c r="O295" s="299"/>
      <c r="P295" s="317"/>
      <c r="Q295" s="317"/>
      <c r="R295" s="317"/>
      <c r="S295" s="146"/>
      <c r="T295" s="146"/>
    </row>
    <row r="296" spans="1:20" s="129" customFormat="1" ht="26.4" x14ac:dyDescent="0.35">
      <c r="A296" s="304">
        <v>1</v>
      </c>
      <c r="B296" s="299" t="s">
        <v>296</v>
      </c>
      <c r="C296" s="304" t="s">
        <v>391</v>
      </c>
      <c r="D296" s="304" t="s">
        <v>144</v>
      </c>
      <c r="E296" s="304">
        <v>2</v>
      </c>
      <c r="F296" s="304">
        <v>3</v>
      </c>
      <c r="G296" s="304">
        <v>6</v>
      </c>
      <c r="H296" s="304">
        <v>1</v>
      </c>
      <c r="I296" s="304">
        <v>2</v>
      </c>
      <c r="J296" s="305">
        <f t="shared" si="62"/>
        <v>19200</v>
      </c>
      <c r="K296" s="305">
        <f t="shared" si="63"/>
        <v>41400</v>
      </c>
      <c r="L296" s="305">
        <f t="shared" si="64"/>
        <v>60600</v>
      </c>
      <c r="M296" s="314"/>
      <c r="N296" s="299"/>
      <c r="O296" s="299"/>
      <c r="P296" s="327"/>
      <c r="Q296" s="327">
        <v>2</v>
      </c>
      <c r="R296" s="327">
        <v>2</v>
      </c>
      <c r="S296" s="2"/>
      <c r="T296" s="2"/>
    </row>
    <row r="297" spans="1:20" s="134" customFormat="1" ht="26.4" x14ac:dyDescent="0.25">
      <c r="A297" s="283">
        <v>2</v>
      </c>
      <c r="B297" s="283" t="s">
        <v>106</v>
      </c>
      <c r="C297" s="288"/>
      <c r="D297" s="288"/>
      <c r="E297" s="283"/>
      <c r="F297" s="283"/>
      <c r="G297" s="283"/>
      <c r="H297" s="283"/>
      <c r="I297" s="283"/>
      <c r="J297" s="305">
        <f t="shared" si="62"/>
        <v>0</v>
      </c>
      <c r="K297" s="305">
        <f t="shared" si="63"/>
        <v>0</v>
      </c>
      <c r="L297" s="305">
        <f t="shared" si="64"/>
        <v>0</v>
      </c>
      <c r="M297" s="315"/>
      <c r="N297" s="278"/>
      <c r="O297" s="278"/>
      <c r="P297" s="316"/>
      <c r="Q297" s="358"/>
      <c r="R297" s="358"/>
      <c r="S297" s="133"/>
      <c r="T297" s="133"/>
    </row>
    <row r="298" spans="1:20" s="139" customFormat="1" ht="26.4" x14ac:dyDescent="0.3">
      <c r="A298" s="278" t="s">
        <v>168</v>
      </c>
      <c r="B298" s="311" t="s">
        <v>169</v>
      </c>
      <c r="C298" s="278"/>
      <c r="D298" s="278"/>
      <c r="E298" s="278"/>
      <c r="F298" s="278"/>
      <c r="G298" s="278"/>
      <c r="H298" s="278"/>
      <c r="I298" s="278"/>
      <c r="J298" s="305">
        <f t="shared" si="62"/>
        <v>0</v>
      </c>
      <c r="K298" s="305">
        <f t="shared" si="63"/>
        <v>0</v>
      </c>
      <c r="L298" s="305">
        <f t="shared" si="64"/>
        <v>0</v>
      </c>
      <c r="M298" s="314"/>
      <c r="N298" s="299"/>
      <c r="O298" s="299"/>
      <c r="P298" s="317"/>
      <c r="Q298" s="313"/>
      <c r="R298" s="313"/>
      <c r="S298" s="146"/>
      <c r="T298" s="146"/>
    </row>
    <row r="299" spans="1:20" s="139" customFormat="1" ht="15.6" x14ac:dyDescent="0.3">
      <c r="A299" s="278"/>
      <c r="B299" s="311" t="s">
        <v>4</v>
      </c>
      <c r="C299" s="278"/>
      <c r="D299" s="278"/>
      <c r="E299" s="278"/>
      <c r="F299" s="278"/>
      <c r="G299" s="278"/>
      <c r="H299" s="278"/>
      <c r="I299" s="278"/>
      <c r="J299" s="305">
        <f t="shared" si="62"/>
        <v>0</v>
      </c>
      <c r="K299" s="305">
        <f t="shared" si="63"/>
        <v>0</v>
      </c>
      <c r="L299" s="305">
        <f t="shared" si="64"/>
        <v>0</v>
      </c>
      <c r="M299" s="312"/>
      <c r="N299" s="299"/>
      <c r="O299" s="299"/>
      <c r="P299" s="317"/>
      <c r="Q299" s="313"/>
      <c r="R299" s="313"/>
      <c r="S299" s="146"/>
      <c r="T299" s="146"/>
    </row>
    <row r="300" spans="1:20" s="139" customFormat="1" ht="15.6" x14ac:dyDescent="0.3">
      <c r="A300" s="359">
        <v>1</v>
      </c>
      <c r="B300" s="334" t="s">
        <v>392</v>
      </c>
      <c r="C300" s="278"/>
      <c r="D300" s="278"/>
      <c r="E300" s="304">
        <v>2</v>
      </c>
      <c r="F300" s="304">
        <v>2</v>
      </c>
      <c r="G300" s="304">
        <v>6</v>
      </c>
      <c r="H300" s="304">
        <v>3</v>
      </c>
      <c r="I300" s="304">
        <v>3</v>
      </c>
      <c r="J300" s="305">
        <f t="shared" si="62"/>
        <v>28800</v>
      </c>
      <c r="K300" s="305">
        <f t="shared" si="63"/>
        <v>46800</v>
      </c>
      <c r="L300" s="305">
        <f t="shared" si="64"/>
        <v>75600</v>
      </c>
      <c r="M300" s="312"/>
      <c r="N300" s="299"/>
      <c r="O300" s="299"/>
      <c r="P300" s="317"/>
      <c r="Q300" s="313">
        <v>3</v>
      </c>
      <c r="R300" s="313">
        <v>3</v>
      </c>
      <c r="S300" s="146"/>
      <c r="T300" s="146"/>
    </row>
    <row r="301" spans="1:20" s="139" customFormat="1" ht="15.6" x14ac:dyDescent="0.3">
      <c r="A301" s="304"/>
      <c r="B301" s="311" t="s">
        <v>6</v>
      </c>
      <c r="C301" s="278"/>
      <c r="D301" s="278"/>
      <c r="E301" s="278"/>
      <c r="F301" s="278"/>
      <c r="G301" s="278"/>
      <c r="H301" s="278"/>
      <c r="I301" s="278"/>
      <c r="J301" s="305">
        <f t="shared" si="62"/>
        <v>0</v>
      </c>
      <c r="K301" s="305">
        <f t="shared" si="63"/>
        <v>0</v>
      </c>
      <c r="L301" s="305">
        <f t="shared" si="64"/>
        <v>0</v>
      </c>
      <c r="M301" s="312"/>
      <c r="N301" s="299"/>
      <c r="O301" s="299"/>
      <c r="P301" s="317"/>
      <c r="Q301" s="313"/>
      <c r="R301" s="313"/>
      <c r="S301" s="146"/>
      <c r="T301" s="146"/>
    </row>
    <row r="302" spans="1:20" s="139" customFormat="1" ht="26.4" x14ac:dyDescent="0.3">
      <c r="A302" s="304">
        <v>1</v>
      </c>
      <c r="B302" s="334" t="s">
        <v>393</v>
      </c>
      <c r="C302" s="278"/>
      <c r="D302" s="278"/>
      <c r="E302" s="304">
        <v>2</v>
      </c>
      <c r="F302" s="304">
        <v>2</v>
      </c>
      <c r="G302" s="304">
        <v>6</v>
      </c>
      <c r="H302" s="304">
        <v>3</v>
      </c>
      <c r="I302" s="304">
        <v>3</v>
      </c>
      <c r="J302" s="305">
        <f t="shared" si="62"/>
        <v>28800</v>
      </c>
      <c r="K302" s="305">
        <f t="shared" si="63"/>
        <v>46800</v>
      </c>
      <c r="L302" s="305">
        <f t="shared" si="64"/>
        <v>75600</v>
      </c>
      <c r="M302" s="312"/>
      <c r="N302" s="299"/>
      <c r="O302" s="299"/>
      <c r="P302" s="317"/>
      <c r="Q302" s="313">
        <v>3</v>
      </c>
      <c r="R302" s="313">
        <v>3</v>
      </c>
      <c r="S302" s="146"/>
      <c r="T302" s="146"/>
    </row>
    <row r="303" spans="1:20" s="139" customFormat="1" ht="15.6" x14ac:dyDescent="0.3">
      <c r="A303" s="304"/>
      <c r="B303" s="311" t="s">
        <v>7</v>
      </c>
      <c r="C303" s="278"/>
      <c r="D303" s="278"/>
      <c r="E303" s="278"/>
      <c r="F303" s="278"/>
      <c r="G303" s="278"/>
      <c r="H303" s="278"/>
      <c r="I303" s="278"/>
      <c r="J303" s="305">
        <f t="shared" si="62"/>
        <v>0</v>
      </c>
      <c r="K303" s="305">
        <f t="shared" si="63"/>
        <v>0</v>
      </c>
      <c r="L303" s="305">
        <f t="shared" si="64"/>
        <v>0</v>
      </c>
      <c r="M303" s="312"/>
      <c r="N303" s="299"/>
      <c r="O303" s="299"/>
      <c r="P303" s="317"/>
      <c r="Q303" s="313"/>
      <c r="R303" s="313"/>
      <c r="S303" s="146"/>
      <c r="T303" s="146"/>
    </row>
    <row r="304" spans="1:20" s="139" customFormat="1" ht="26.4" x14ac:dyDescent="0.3">
      <c r="A304" s="304">
        <v>1</v>
      </c>
      <c r="B304" s="334" t="s">
        <v>394</v>
      </c>
      <c r="C304" s="278"/>
      <c r="D304" s="278"/>
      <c r="E304" s="304">
        <v>2</v>
      </c>
      <c r="F304" s="304">
        <v>2</v>
      </c>
      <c r="G304" s="304">
        <v>6</v>
      </c>
      <c r="H304" s="304">
        <v>3</v>
      </c>
      <c r="I304" s="304">
        <v>3</v>
      </c>
      <c r="J304" s="305">
        <f t="shared" si="62"/>
        <v>28800</v>
      </c>
      <c r="K304" s="305">
        <f t="shared" si="63"/>
        <v>46800</v>
      </c>
      <c r="L304" s="305">
        <f t="shared" si="64"/>
        <v>75600</v>
      </c>
      <c r="M304" s="312"/>
      <c r="N304" s="299"/>
      <c r="O304" s="299"/>
      <c r="P304" s="317"/>
      <c r="Q304" s="313">
        <v>3</v>
      </c>
      <c r="R304" s="313">
        <v>3</v>
      </c>
      <c r="S304" s="146"/>
      <c r="T304" s="146"/>
    </row>
    <row r="305" spans="1:20" s="139" customFormat="1" ht="15.6" x14ac:dyDescent="0.3">
      <c r="A305" s="304"/>
      <c r="B305" s="311" t="s">
        <v>8</v>
      </c>
      <c r="C305" s="278"/>
      <c r="D305" s="278"/>
      <c r="E305" s="278"/>
      <c r="F305" s="278"/>
      <c r="G305" s="278"/>
      <c r="H305" s="278"/>
      <c r="I305" s="278"/>
      <c r="J305" s="305">
        <f t="shared" si="62"/>
        <v>0</v>
      </c>
      <c r="K305" s="305">
        <f t="shared" si="63"/>
        <v>0</v>
      </c>
      <c r="L305" s="305">
        <f t="shared" si="64"/>
        <v>0</v>
      </c>
      <c r="M305" s="312"/>
      <c r="N305" s="299"/>
      <c r="O305" s="299"/>
      <c r="P305" s="317"/>
      <c r="Q305" s="313"/>
      <c r="R305" s="313"/>
      <c r="S305" s="146"/>
      <c r="T305" s="146"/>
    </row>
    <row r="306" spans="1:20" s="139" customFormat="1" ht="26.4" x14ac:dyDescent="0.3">
      <c r="A306" s="304">
        <v>1</v>
      </c>
      <c r="B306" s="334" t="s">
        <v>395</v>
      </c>
      <c r="C306" s="278"/>
      <c r="D306" s="278"/>
      <c r="E306" s="304">
        <v>2</v>
      </c>
      <c r="F306" s="304">
        <v>2</v>
      </c>
      <c r="G306" s="304">
        <v>6</v>
      </c>
      <c r="H306" s="304">
        <v>3</v>
      </c>
      <c r="I306" s="304">
        <v>3</v>
      </c>
      <c r="J306" s="305">
        <f t="shared" si="62"/>
        <v>28800</v>
      </c>
      <c r="K306" s="305">
        <f t="shared" si="63"/>
        <v>46800</v>
      </c>
      <c r="L306" s="305">
        <f t="shared" si="64"/>
        <v>75600</v>
      </c>
      <c r="M306" s="312"/>
      <c r="N306" s="299"/>
      <c r="O306" s="299"/>
      <c r="P306" s="317"/>
      <c r="Q306" s="313">
        <v>3</v>
      </c>
      <c r="R306" s="313">
        <v>3</v>
      </c>
      <c r="S306" s="146"/>
      <c r="T306" s="146"/>
    </row>
    <row r="307" spans="1:20" s="139" customFormat="1" ht="15.6" x14ac:dyDescent="0.3">
      <c r="A307" s="304"/>
      <c r="B307" s="311" t="s">
        <v>9</v>
      </c>
      <c r="C307" s="278"/>
      <c r="D307" s="278"/>
      <c r="E307" s="278"/>
      <c r="F307" s="278"/>
      <c r="G307" s="278"/>
      <c r="H307" s="278"/>
      <c r="I307" s="278"/>
      <c r="J307" s="305">
        <f t="shared" si="62"/>
        <v>0</v>
      </c>
      <c r="K307" s="305">
        <f t="shared" si="63"/>
        <v>0</v>
      </c>
      <c r="L307" s="305">
        <f t="shared" si="64"/>
        <v>0</v>
      </c>
      <c r="M307" s="312"/>
      <c r="N307" s="299"/>
      <c r="O307" s="299"/>
      <c r="P307" s="317"/>
      <c r="Q307" s="313"/>
      <c r="R307" s="313"/>
      <c r="S307" s="146"/>
      <c r="T307" s="146"/>
    </row>
    <row r="308" spans="1:20" s="139" customFormat="1" ht="26.4" x14ac:dyDescent="0.3">
      <c r="A308" s="304">
        <v>1</v>
      </c>
      <c r="B308" s="334" t="s">
        <v>396</v>
      </c>
      <c r="C308" s="278"/>
      <c r="D308" s="278"/>
      <c r="E308" s="304">
        <v>2</v>
      </c>
      <c r="F308" s="304">
        <v>2</v>
      </c>
      <c r="G308" s="304">
        <v>6</v>
      </c>
      <c r="H308" s="304">
        <v>3</v>
      </c>
      <c r="I308" s="304">
        <v>3</v>
      </c>
      <c r="J308" s="305">
        <f t="shared" si="62"/>
        <v>28800</v>
      </c>
      <c r="K308" s="305">
        <f t="shared" si="63"/>
        <v>46800</v>
      </c>
      <c r="L308" s="305">
        <f t="shared" si="64"/>
        <v>75600</v>
      </c>
      <c r="M308" s="312"/>
      <c r="N308" s="299"/>
      <c r="O308" s="299"/>
      <c r="P308" s="317"/>
      <c r="Q308" s="313">
        <v>3</v>
      </c>
      <c r="R308" s="313">
        <v>3</v>
      </c>
      <c r="S308" s="146"/>
      <c r="T308" s="146"/>
    </row>
    <row r="309" spans="1:20" s="139" customFormat="1" ht="15.6" x14ac:dyDescent="0.3">
      <c r="A309" s="278" t="s">
        <v>101</v>
      </c>
      <c r="B309" s="718" t="s">
        <v>179</v>
      </c>
      <c r="C309" s="718"/>
      <c r="D309" s="304"/>
      <c r="E309" s="304"/>
      <c r="F309" s="304"/>
      <c r="G309" s="304"/>
      <c r="H309" s="304"/>
      <c r="I309" s="379"/>
      <c r="J309" s="305">
        <f t="shared" si="62"/>
        <v>0</v>
      </c>
      <c r="K309" s="305">
        <f t="shared" si="63"/>
        <v>0</v>
      </c>
      <c r="L309" s="305">
        <f t="shared" si="64"/>
        <v>0</v>
      </c>
      <c r="M309" s="312"/>
      <c r="N309" s="299"/>
      <c r="O309" s="299"/>
      <c r="P309" s="317"/>
      <c r="Q309" s="313"/>
      <c r="R309" s="313"/>
      <c r="S309" s="146"/>
      <c r="T309" s="146"/>
    </row>
    <row r="310" spans="1:20" s="139" customFormat="1" ht="15.6" x14ac:dyDescent="0.3">
      <c r="A310" s="278"/>
      <c r="B310" s="311" t="s">
        <v>4</v>
      </c>
      <c r="C310" s="311"/>
      <c r="D310" s="278"/>
      <c r="E310" s="283">
        <f>SUM(E311:E319)</f>
        <v>18</v>
      </c>
      <c r="F310" s="283">
        <f t="shared" ref="F310:L310" si="65">SUM(F311:F319)</f>
        <v>18</v>
      </c>
      <c r="G310" s="283">
        <f t="shared" si="65"/>
        <v>51</v>
      </c>
      <c r="H310" s="283">
        <f t="shared" si="65"/>
        <v>24</v>
      </c>
      <c r="I310" s="283">
        <f t="shared" si="65"/>
        <v>27</v>
      </c>
      <c r="J310" s="283">
        <f t="shared" si="65"/>
        <v>259200</v>
      </c>
      <c r="K310" s="283">
        <f t="shared" si="65"/>
        <v>392400</v>
      </c>
      <c r="L310" s="283">
        <f t="shared" si="65"/>
        <v>651600</v>
      </c>
      <c r="M310" s="312"/>
      <c r="N310" s="299"/>
      <c r="O310" s="299"/>
      <c r="P310" s="317"/>
      <c r="Q310" s="360">
        <f>SUM(Q311:Q319)</f>
        <v>24</v>
      </c>
      <c r="R310" s="360">
        <f>SUM(R311:R319)</f>
        <v>27</v>
      </c>
      <c r="S310" s="146"/>
      <c r="T310" s="146"/>
    </row>
    <row r="311" spans="1:20" s="139" customFormat="1" ht="15.6" customHeight="1" x14ac:dyDescent="0.3">
      <c r="A311" s="304">
        <v>1</v>
      </c>
      <c r="B311" s="299" t="s">
        <v>397</v>
      </c>
      <c r="C311" s="703" t="s">
        <v>398</v>
      </c>
      <c r="D311" s="693" t="s">
        <v>106</v>
      </c>
      <c r="E311" s="304">
        <v>2</v>
      </c>
      <c r="F311" s="304">
        <v>2</v>
      </c>
      <c r="G311" s="304">
        <f>H311+I311</f>
        <v>6</v>
      </c>
      <c r="H311" s="304">
        <v>3</v>
      </c>
      <c r="I311" s="304">
        <v>3</v>
      </c>
      <c r="J311" s="305">
        <f t="shared" si="62"/>
        <v>28800</v>
      </c>
      <c r="K311" s="305">
        <f t="shared" si="63"/>
        <v>46800</v>
      </c>
      <c r="L311" s="305">
        <f t="shared" si="64"/>
        <v>75600</v>
      </c>
      <c r="M311" s="314"/>
      <c r="N311" s="299"/>
      <c r="O311" s="299"/>
      <c r="P311" s="317"/>
      <c r="Q311" s="313">
        <v>3</v>
      </c>
      <c r="R311" s="313">
        <v>3</v>
      </c>
      <c r="S311" s="146"/>
      <c r="T311" s="146"/>
    </row>
    <row r="312" spans="1:20" s="139" customFormat="1" ht="26.4" x14ac:dyDescent="0.3">
      <c r="A312" s="304">
        <v>2</v>
      </c>
      <c r="B312" s="299" t="s">
        <v>399</v>
      </c>
      <c r="C312" s="703"/>
      <c r="D312" s="704"/>
      <c r="E312" s="304">
        <v>2</v>
      </c>
      <c r="F312" s="304">
        <v>2</v>
      </c>
      <c r="G312" s="304">
        <f t="shared" ref="G312:G318" si="66">H312+I312</f>
        <v>6</v>
      </c>
      <c r="H312" s="304">
        <v>3</v>
      </c>
      <c r="I312" s="304">
        <v>3</v>
      </c>
      <c r="J312" s="305">
        <f t="shared" si="62"/>
        <v>28800</v>
      </c>
      <c r="K312" s="305">
        <f t="shared" si="63"/>
        <v>46800</v>
      </c>
      <c r="L312" s="305">
        <f t="shared" si="64"/>
        <v>75600</v>
      </c>
      <c r="M312" s="314"/>
      <c r="N312" s="299"/>
      <c r="O312" s="299"/>
      <c r="P312" s="317"/>
      <c r="Q312" s="313">
        <v>3</v>
      </c>
      <c r="R312" s="313">
        <v>3</v>
      </c>
      <c r="S312" s="146"/>
      <c r="T312" s="146"/>
    </row>
    <row r="313" spans="1:20" s="139" customFormat="1" ht="15.6" x14ac:dyDescent="0.3">
      <c r="A313" s="304">
        <v>3</v>
      </c>
      <c r="B313" s="299" t="s">
        <v>400</v>
      </c>
      <c r="C313" s="703"/>
      <c r="D313" s="704"/>
      <c r="E313" s="304">
        <v>2</v>
      </c>
      <c r="F313" s="304">
        <v>2</v>
      </c>
      <c r="G313" s="304">
        <f t="shared" si="66"/>
        <v>6</v>
      </c>
      <c r="H313" s="304">
        <v>3</v>
      </c>
      <c r="I313" s="304">
        <v>3</v>
      </c>
      <c r="J313" s="305">
        <f t="shared" si="62"/>
        <v>28800</v>
      </c>
      <c r="K313" s="305">
        <f t="shared" si="63"/>
        <v>46800</v>
      </c>
      <c r="L313" s="305">
        <f t="shared" si="64"/>
        <v>75600</v>
      </c>
      <c r="M313" s="314"/>
      <c r="N313" s="299"/>
      <c r="O313" s="299"/>
      <c r="P313" s="317"/>
      <c r="Q313" s="313">
        <v>3</v>
      </c>
      <c r="R313" s="313">
        <v>3</v>
      </c>
      <c r="S313" s="146"/>
      <c r="T313" s="146"/>
    </row>
    <row r="314" spans="1:20" s="139" customFormat="1" ht="15.6" x14ac:dyDescent="0.3">
      <c r="A314" s="304">
        <v>4</v>
      </c>
      <c r="B314" s="299" t="s">
        <v>401</v>
      </c>
      <c r="C314" s="703"/>
      <c r="D314" s="704"/>
      <c r="E314" s="304">
        <v>2</v>
      </c>
      <c r="F314" s="304">
        <v>2</v>
      </c>
      <c r="G314" s="304">
        <f t="shared" si="66"/>
        <v>6</v>
      </c>
      <c r="H314" s="304">
        <v>3</v>
      </c>
      <c r="I314" s="304">
        <v>3</v>
      </c>
      <c r="J314" s="305">
        <f t="shared" si="62"/>
        <v>28800</v>
      </c>
      <c r="K314" s="305">
        <f t="shared" si="63"/>
        <v>46800</v>
      </c>
      <c r="L314" s="305">
        <f t="shared" si="64"/>
        <v>75600</v>
      </c>
      <c r="M314" s="314"/>
      <c r="N314" s="299"/>
      <c r="O314" s="299"/>
      <c r="P314" s="317"/>
      <c r="Q314" s="313">
        <v>3</v>
      </c>
      <c r="R314" s="313">
        <v>3</v>
      </c>
      <c r="S314" s="146"/>
      <c r="T314" s="146"/>
    </row>
    <row r="315" spans="1:20" s="139" customFormat="1" ht="26.4" x14ac:dyDescent="0.3">
      <c r="A315" s="304">
        <v>5</v>
      </c>
      <c r="B315" s="299" t="s">
        <v>402</v>
      </c>
      <c r="C315" s="703"/>
      <c r="D315" s="704"/>
      <c r="E315" s="304">
        <v>2</v>
      </c>
      <c r="F315" s="304">
        <v>2</v>
      </c>
      <c r="G315" s="304">
        <f t="shared" si="66"/>
        <v>6</v>
      </c>
      <c r="H315" s="304">
        <v>3</v>
      </c>
      <c r="I315" s="304">
        <v>3</v>
      </c>
      <c r="J315" s="305">
        <f t="shared" si="62"/>
        <v>28800</v>
      </c>
      <c r="K315" s="305">
        <f t="shared" si="63"/>
        <v>46800</v>
      </c>
      <c r="L315" s="305">
        <f t="shared" si="64"/>
        <v>75600</v>
      </c>
      <c r="M315" s="314"/>
      <c r="N315" s="299"/>
      <c r="O315" s="299"/>
      <c r="P315" s="317"/>
      <c r="Q315" s="313">
        <v>3</v>
      </c>
      <c r="R315" s="313">
        <v>3</v>
      </c>
      <c r="S315" s="146"/>
      <c r="T315" s="146"/>
    </row>
    <row r="316" spans="1:20" s="139" customFormat="1" ht="26.4" x14ac:dyDescent="0.3">
      <c r="A316" s="304">
        <v>6</v>
      </c>
      <c r="B316" s="299" t="s">
        <v>403</v>
      </c>
      <c r="C316" s="703"/>
      <c r="D316" s="704"/>
      <c r="E316" s="304">
        <v>2</v>
      </c>
      <c r="F316" s="304">
        <v>2</v>
      </c>
      <c r="G316" s="304">
        <f t="shared" si="66"/>
        <v>6</v>
      </c>
      <c r="H316" s="304">
        <v>3</v>
      </c>
      <c r="I316" s="304">
        <v>3</v>
      </c>
      <c r="J316" s="305">
        <f t="shared" si="62"/>
        <v>28800</v>
      </c>
      <c r="K316" s="305">
        <f t="shared" si="63"/>
        <v>46800</v>
      </c>
      <c r="L316" s="305">
        <f t="shared" si="64"/>
        <v>75600</v>
      </c>
      <c r="M316" s="314"/>
      <c r="N316" s="299"/>
      <c r="O316" s="299"/>
      <c r="P316" s="317"/>
      <c r="Q316" s="313">
        <v>3</v>
      </c>
      <c r="R316" s="313">
        <v>3</v>
      </c>
      <c r="S316" s="146"/>
      <c r="T316" s="146"/>
    </row>
    <row r="317" spans="1:20" s="139" customFormat="1" ht="26.4" x14ac:dyDescent="0.3">
      <c r="A317" s="304">
        <v>7</v>
      </c>
      <c r="B317" s="299" t="s">
        <v>404</v>
      </c>
      <c r="C317" s="703"/>
      <c r="D317" s="704"/>
      <c r="E317" s="304">
        <v>2</v>
      </c>
      <c r="F317" s="304">
        <v>2</v>
      </c>
      <c r="G317" s="304">
        <f t="shared" si="66"/>
        <v>6</v>
      </c>
      <c r="H317" s="304">
        <v>3</v>
      </c>
      <c r="I317" s="304">
        <v>3</v>
      </c>
      <c r="J317" s="305">
        <f t="shared" si="62"/>
        <v>28800</v>
      </c>
      <c r="K317" s="305">
        <f t="shared" si="63"/>
        <v>46800</v>
      </c>
      <c r="L317" s="305">
        <f t="shared" si="64"/>
        <v>75600</v>
      </c>
      <c r="M317" s="314"/>
      <c r="N317" s="299"/>
      <c r="O317" s="299"/>
      <c r="P317" s="317"/>
      <c r="Q317" s="313">
        <v>3</v>
      </c>
      <c r="R317" s="313">
        <v>3</v>
      </c>
      <c r="S317" s="146"/>
      <c r="T317" s="146"/>
    </row>
    <row r="318" spans="1:20" s="139" customFormat="1" ht="18" customHeight="1" x14ac:dyDescent="0.3">
      <c r="A318" s="304">
        <v>8</v>
      </c>
      <c r="B318" s="299" t="s">
        <v>405</v>
      </c>
      <c r="C318" s="703"/>
      <c r="D318" s="704"/>
      <c r="E318" s="304">
        <v>2</v>
      </c>
      <c r="F318" s="304">
        <v>2</v>
      </c>
      <c r="G318" s="304">
        <f t="shared" si="66"/>
        <v>6</v>
      </c>
      <c r="H318" s="304">
        <v>3</v>
      </c>
      <c r="I318" s="304">
        <v>3</v>
      </c>
      <c r="J318" s="305">
        <f t="shared" si="62"/>
        <v>28800</v>
      </c>
      <c r="K318" s="305">
        <f t="shared" si="63"/>
        <v>46800</v>
      </c>
      <c r="L318" s="305">
        <f t="shared" si="64"/>
        <v>75600</v>
      </c>
      <c r="M318" s="314"/>
      <c r="N318" s="299"/>
      <c r="O318" s="299"/>
      <c r="P318" s="317"/>
      <c r="Q318" s="313">
        <v>3</v>
      </c>
      <c r="R318" s="313">
        <v>3</v>
      </c>
      <c r="S318" s="146"/>
      <c r="T318" s="146"/>
    </row>
    <row r="319" spans="1:20" s="139" customFormat="1" ht="19.95" customHeight="1" x14ac:dyDescent="0.3">
      <c r="A319" s="304">
        <v>9</v>
      </c>
      <c r="B319" s="299" t="s">
        <v>406</v>
      </c>
      <c r="C319" s="304" t="s">
        <v>127</v>
      </c>
      <c r="D319" s="704"/>
      <c r="E319" s="304">
        <v>2</v>
      </c>
      <c r="F319" s="304">
        <v>2</v>
      </c>
      <c r="G319" s="304">
        <v>3</v>
      </c>
      <c r="H319" s="304">
        <v>0</v>
      </c>
      <c r="I319" s="304">
        <v>3</v>
      </c>
      <c r="J319" s="305">
        <f t="shared" si="62"/>
        <v>28800</v>
      </c>
      <c r="K319" s="305">
        <f t="shared" si="63"/>
        <v>18000</v>
      </c>
      <c r="L319" s="305">
        <f t="shared" si="64"/>
        <v>46800</v>
      </c>
      <c r="M319" s="314"/>
      <c r="N319" s="299"/>
      <c r="O319" s="299"/>
      <c r="P319" s="317"/>
      <c r="Q319" s="313"/>
      <c r="R319" s="313">
        <v>3</v>
      </c>
      <c r="S319" s="146"/>
      <c r="T319" s="146"/>
    </row>
    <row r="320" spans="1:20" s="129" customFormat="1" x14ac:dyDescent="0.35">
      <c r="A320" s="278"/>
      <c r="B320" s="307" t="s">
        <v>173</v>
      </c>
      <c r="C320" s="304"/>
      <c r="D320" s="704"/>
      <c r="E320" s="299">
        <f>SUM(E321:E324)</f>
        <v>8</v>
      </c>
      <c r="F320" s="299">
        <f t="shared" ref="F320:L320" si="67">SUM(F321:F324)</f>
        <v>8</v>
      </c>
      <c r="G320" s="299">
        <f t="shared" si="67"/>
        <v>24</v>
      </c>
      <c r="H320" s="299">
        <f t="shared" si="67"/>
        <v>12</v>
      </c>
      <c r="I320" s="299">
        <f t="shared" si="67"/>
        <v>12</v>
      </c>
      <c r="J320" s="299">
        <f t="shared" si="67"/>
        <v>115200</v>
      </c>
      <c r="K320" s="299">
        <f t="shared" si="67"/>
        <v>187200</v>
      </c>
      <c r="L320" s="299">
        <f t="shared" si="67"/>
        <v>302400</v>
      </c>
      <c r="M320" s="336"/>
      <c r="N320" s="327"/>
      <c r="O320" s="327"/>
      <c r="P320" s="327"/>
      <c r="Q320" s="361">
        <v>12</v>
      </c>
      <c r="R320" s="361">
        <v>12</v>
      </c>
      <c r="S320" s="2"/>
      <c r="T320" s="2"/>
    </row>
    <row r="321" spans="1:20" s="129" customFormat="1" ht="18" customHeight="1" x14ac:dyDescent="0.35">
      <c r="A321" s="304">
        <v>1</v>
      </c>
      <c r="B321" s="299" t="s">
        <v>407</v>
      </c>
      <c r="C321" s="703" t="s">
        <v>398</v>
      </c>
      <c r="D321" s="704"/>
      <c r="E321" s="304">
        <v>2</v>
      </c>
      <c r="F321" s="304">
        <v>2</v>
      </c>
      <c r="G321" s="304">
        <v>6</v>
      </c>
      <c r="H321" s="304">
        <v>3</v>
      </c>
      <c r="I321" s="304">
        <v>3</v>
      </c>
      <c r="J321" s="305">
        <f t="shared" si="62"/>
        <v>28800</v>
      </c>
      <c r="K321" s="305">
        <f t="shared" si="63"/>
        <v>46800</v>
      </c>
      <c r="L321" s="305">
        <f t="shared" si="64"/>
        <v>75600</v>
      </c>
      <c r="M321" s="336"/>
      <c r="N321" s="327"/>
      <c r="O321" s="327"/>
      <c r="P321" s="327"/>
      <c r="Q321" s="313">
        <v>3</v>
      </c>
      <c r="R321" s="313">
        <v>3</v>
      </c>
      <c r="S321" s="2"/>
      <c r="T321" s="2"/>
    </row>
    <row r="322" spans="1:20" s="129" customFormat="1" ht="26.4" x14ac:dyDescent="0.35">
      <c r="A322" s="304">
        <v>2</v>
      </c>
      <c r="B322" s="299" t="s">
        <v>408</v>
      </c>
      <c r="C322" s="703"/>
      <c r="D322" s="704"/>
      <c r="E322" s="304">
        <v>2</v>
      </c>
      <c r="F322" s="304">
        <v>2</v>
      </c>
      <c r="G322" s="304">
        <v>6</v>
      </c>
      <c r="H322" s="304">
        <v>3</v>
      </c>
      <c r="I322" s="304">
        <v>3</v>
      </c>
      <c r="J322" s="305">
        <f t="shared" si="62"/>
        <v>28800</v>
      </c>
      <c r="K322" s="305">
        <f t="shared" si="63"/>
        <v>46800</v>
      </c>
      <c r="L322" s="305">
        <f t="shared" si="64"/>
        <v>75600</v>
      </c>
      <c r="M322" s="336"/>
      <c r="N322" s="327"/>
      <c r="O322" s="327"/>
      <c r="P322" s="327"/>
      <c r="Q322" s="313">
        <v>3</v>
      </c>
      <c r="R322" s="313">
        <v>3</v>
      </c>
      <c r="S322" s="2"/>
      <c r="T322" s="2"/>
    </row>
    <row r="323" spans="1:20" s="129" customFormat="1" x14ac:dyDescent="0.35">
      <c r="A323" s="304">
        <v>3</v>
      </c>
      <c r="B323" s="330" t="s">
        <v>409</v>
      </c>
      <c r="C323" s="703"/>
      <c r="D323" s="704"/>
      <c r="E323" s="304">
        <v>2</v>
      </c>
      <c r="F323" s="304">
        <v>2</v>
      </c>
      <c r="G323" s="304">
        <v>6</v>
      </c>
      <c r="H323" s="304">
        <v>3</v>
      </c>
      <c r="I323" s="304">
        <v>3</v>
      </c>
      <c r="J323" s="305">
        <f t="shared" si="62"/>
        <v>28800</v>
      </c>
      <c r="K323" s="305">
        <f t="shared" si="63"/>
        <v>46800</v>
      </c>
      <c r="L323" s="305">
        <f t="shared" si="64"/>
        <v>75600</v>
      </c>
      <c r="M323" s="336"/>
      <c r="N323" s="327"/>
      <c r="O323" s="327"/>
      <c r="P323" s="327"/>
      <c r="Q323" s="313">
        <v>3</v>
      </c>
      <c r="R323" s="313">
        <v>3</v>
      </c>
      <c r="S323" s="2"/>
      <c r="T323" s="2"/>
    </row>
    <row r="324" spans="1:20" s="129" customFormat="1" x14ac:dyDescent="0.35">
      <c r="A324" s="304">
        <v>4</v>
      </c>
      <c r="B324" s="299" t="s">
        <v>410</v>
      </c>
      <c r="C324" s="703"/>
      <c r="D324" s="704"/>
      <c r="E324" s="304">
        <v>2</v>
      </c>
      <c r="F324" s="304">
        <v>2</v>
      </c>
      <c r="G324" s="304">
        <v>6</v>
      </c>
      <c r="H324" s="304">
        <v>3</v>
      </c>
      <c r="I324" s="304">
        <v>3</v>
      </c>
      <c r="J324" s="305">
        <f t="shared" si="62"/>
        <v>28800</v>
      </c>
      <c r="K324" s="305">
        <f t="shared" si="63"/>
        <v>46800</v>
      </c>
      <c r="L324" s="305">
        <f t="shared" si="64"/>
        <v>75600</v>
      </c>
      <c r="M324" s="336"/>
      <c r="N324" s="327"/>
      <c r="O324" s="327"/>
      <c r="P324" s="327"/>
      <c r="Q324" s="313">
        <v>3</v>
      </c>
      <c r="R324" s="313">
        <v>3</v>
      </c>
      <c r="S324" s="2"/>
      <c r="T324" s="2"/>
    </row>
    <row r="325" spans="1:20" s="129" customFormat="1" x14ac:dyDescent="0.35">
      <c r="A325" s="278"/>
      <c r="B325" s="307" t="s">
        <v>175</v>
      </c>
      <c r="C325" s="304"/>
      <c r="D325" s="704"/>
      <c r="E325" s="299">
        <f>SUM(E326:E328)</f>
        <v>6</v>
      </c>
      <c r="F325" s="299">
        <f t="shared" ref="F325:L325" si="68">SUM(F326:F328)</f>
        <v>6</v>
      </c>
      <c r="G325" s="299">
        <f t="shared" si="68"/>
        <v>18</v>
      </c>
      <c r="H325" s="299">
        <f t="shared" si="68"/>
        <v>9</v>
      </c>
      <c r="I325" s="299">
        <f t="shared" si="68"/>
        <v>9</v>
      </c>
      <c r="J325" s="299">
        <f t="shared" si="68"/>
        <v>86400</v>
      </c>
      <c r="K325" s="299">
        <f t="shared" si="68"/>
        <v>140400</v>
      </c>
      <c r="L325" s="299">
        <f t="shared" si="68"/>
        <v>226800</v>
      </c>
      <c r="M325" s="336"/>
      <c r="N325" s="327"/>
      <c r="O325" s="327"/>
      <c r="P325" s="327"/>
      <c r="Q325" s="361">
        <v>9</v>
      </c>
      <c r="R325" s="361">
        <v>9</v>
      </c>
      <c r="S325" s="2"/>
      <c r="T325" s="2"/>
    </row>
    <row r="326" spans="1:20" s="129" customFormat="1" ht="18" customHeight="1" x14ac:dyDescent="0.35">
      <c r="A326" s="304">
        <v>1</v>
      </c>
      <c r="B326" s="299" t="s">
        <v>411</v>
      </c>
      <c r="C326" s="703" t="s">
        <v>398</v>
      </c>
      <c r="D326" s="704"/>
      <c r="E326" s="304">
        <v>2</v>
      </c>
      <c r="F326" s="304">
        <v>2</v>
      </c>
      <c r="G326" s="304">
        <v>6</v>
      </c>
      <c r="H326" s="304">
        <v>3</v>
      </c>
      <c r="I326" s="304">
        <v>3</v>
      </c>
      <c r="J326" s="305">
        <f t="shared" si="62"/>
        <v>28800</v>
      </c>
      <c r="K326" s="305">
        <f t="shared" si="63"/>
        <v>46800</v>
      </c>
      <c r="L326" s="305">
        <f t="shared" si="64"/>
        <v>75600</v>
      </c>
      <c r="M326" s="336"/>
      <c r="N326" s="327"/>
      <c r="O326" s="327"/>
      <c r="P326" s="327"/>
      <c r="Q326" s="313">
        <v>3</v>
      </c>
      <c r="R326" s="313">
        <v>3</v>
      </c>
      <c r="S326" s="2"/>
      <c r="T326" s="2"/>
    </row>
    <row r="327" spans="1:20" s="129" customFormat="1" ht="18" customHeight="1" x14ac:dyDescent="0.35">
      <c r="A327" s="304">
        <v>2</v>
      </c>
      <c r="B327" s="299" t="s">
        <v>412</v>
      </c>
      <c r="C327" s="703"/>
      <c r="D327" s="704"/>
      <c r="E327" s="304">
        <v>2</v>
      </c>
      <c r="F327" s="304">
        <v>2</v>
      </c>
      <c r="G327" s="304">
        <v>6</v>
      </c>
      <c r="H327" s="304">
        <v>3</v>
      </c>
      <c r="I327" s="304">
        <v>3</v>
      </c>
      <c r="J327" s="305">
        <f t="shared" ref="J327:J390" si="69">E327*I327*4800</f>
        <v>28800</v>
      </c>
      <c r="K327" s="305">
        <f t="shared" ref="K327:K390" si="70">F327*H327*4800+F327*9000</f>
        <v>46800</v>
      </c>
      <c r="L327" s="305">
        <f t="shared" ref="L327:L390" si="71">J327+K327</f>
        <v>75600</v>
      </c>
      <c r="M327" s="336"/>
      <c r="N327" s="327"/>
      <c r="O327" s="327"/>
      <c r="P327" s="327"/>
      <c r="Q327" s="313">
        <v>3</v>
      </c>
      <c r="R327" s="313">
        <v>3</v>
      </c>
      <c r="S327" s="2"/>
      <c r="T327" s="2"/>
    </row>
    <row r="328" spans="1:20" s="129" customFormat="1" ht="26.4" x14ac:dyDescent="0.35">
      <c r="A328" s="304">
        <v>3</v>
      </c>
      <c r="B328" s="299" t="s">
        <v>413</v>
      </c>
      <c r="C328" s="304" t="s">
        <v>235</v>
      </c>
      <c r="D328" s="704"/>
      <c r="E328" s="304">
        <v>2</v>
      </c>
      <c r="F328" s="304">
        <v>2</v>
      </c>
      <c r="G328" s="304">
        <v>6</v>
      </c>
      <c r="H328" s="304">
        <v>3</v>
      </c>
      <c r="I328" s="304">
        <v>3</v>
      </c>
      <c r="J328" s="305">
        <f t="shared" si="69"/>
        <v>28800</v>
      </c>
      <c r="K328" s="305">
        <f t="shared" si="70"/>
        <v>46800</v>
      </c>
      <c r="L328" s="305">
        <f t="shared" si="71"/>
        <v>75600</v>
      </c>
      <c r="M328" s="336"/>
      <c r="N328" s="327"/>
      <c r="O328" s="327"/>
      <c r="P328" s="327"/>
      <c r="Q328" s="313">
        <v>3</v>
      </c>
      <c r="R328" s="313">
        <v>3</v>
      </c>
      <c r="S328" s="2"/>
      <c r="T328" s="2"/>
    </row>
    <row r="329" spans="1:20" s="129" customFormat="1" ht="18" customHeight="1" x14ac:dyDescent="0.35">
      <c r="A329" s="278"/>
      <c r="B329" s="307" t="s">
        <v>177</v>
      </c>
      <c r="C329" s="703" t="s">
        <v>398</v>
      </c>
      <c r="D329" s="704"/>
      <c r="E329" s="278">
        <f>SUM(E330:E332)</f>
        <v>6</v>
      </c>
      <c r="F329" s="278">
        <f t="shared" ref="F329:L329" si="72">SUM(F330:F332)</f>
        <v>6</v>
      </c>
      <c r="G329" s="278">
        <f t="shared" si="72"/>
        <v>18</v>
      </c>
      <c r="H329" s="278">
        <f t="shared" si="72"/>
        <v>9</v>
      </c>
      <c r="I329" s="278">
        <f t="shared" si="72"/>
        <v>9</v>
      </c>
      <c r="J329" s="278">
        <f t="shared" si="72"/>
        <v>86400</v>
      </c>
      <c r="K329" s="278">
        <f t="shared" si="72"/>
        <v>140400</v>
      </c>
      <c r="L329" s="278">
        <f t="shared" si="72"/>
        <v>226800</v>
      </c>
      <c r="M329" s="336"/>
      <c r="N329" s="327"/>
      <c r="O329" s="327"/>
      <c r="P329" s="327"/>
      <c r="Q329" s="361">
        <v>9</v>
      </c>
      <c r="R329" s="361">
        <v>9</v>
      </c>
      <c r="S329" s="2"/>
      <c r="T329" s="2"/>
    </row>
    <row r="330" spans="1:20" s="129" customFormat="1" ht="26.4" x14ac:dyDescent="0.35">
      <c r="A330" s="304">
        <v>1</v>
      </c>
      <c r="B330" s="299" t="s">
        <v>414</v>
      </c>
      <c r="C330" s="703"/>
      <c r="D330" s="704"/>
      <c r="E330" s="304">
        <v>2</v>
      </c>
      <c r="F330" s="304">
        <v>2</v>
      </c>
      <c r="G330" s="304">
        <v>6</v>
      </c>
      <c r="H330" s="304">
        <v>3</v>
      </c>
      <c r="I330" s="304">
        <v>3</v>
      </c>
      <c r="J330" s="305">
        <f t="shared" si="69"/>
        <v>28800</v>
      </c>
      <c r="K330" s="305">
        <f t="shared" si="70"/>
        <v>46800</v>
      </c>
      <c r="L330" s="305">
        <f t="shared" si="71"/>
        <v>75600</v>
      </c>
      <c r="M330" s="336"/>
      <c r="N330" s="327"/>
      <c r="O330" s="327"/>
      <c r="P330" s="327"/>
      <c r="Q330" s="313">
        <v>3</v>
      </c>
      <c r="R330" s="313">
        <v>3</v>
      </c>
      <c r="S330" s="2"/>
      <c r="T330" s="2"/>
    </row>
    <row r="331" spans="1:20" s="129" customFormat="1" ht="26.4" x14ac:dyDescent="0.35">
      <c r="A331" s="304">
        <v>2</v>
      </c>
      <c r="B331" s="299" t="s">
        <v>415</v>
      </c>
      <c r="C331" s="703"/>
      <c r="D331" s="704"/>
      <c r="E331" s="304">
        <v>2</v>
      </c>
      <c r="F331" s="304">
        <v>2</v>
      </c>
      <c r="G331" s="304">
        <v>6</v>
      </c>
      <c r="H331" s="304">
        <v>3</v>
      </c>
      <c r="I331" s="304">
        <v>3</v>
      </c>
      <c r="J331" s="305">
        <f t="shared" si="69"/>
        <v>28800</v>
      </c>
      <c r="K331" s="305">
        <f t="shared" si="70"/>
        <v>46800</v>
      </c>
      <c r="L331" s="305">
        <f t="shared" si="71"/>
        <v>75600</v>
      </c>
      <c r="M331" s="336"/>
      <c r="N331" s="327"/>
      <c r="O331" s="327"/>
      <c r="P331" s="327"/>
      <c r="Q331" s="313">
        <v>3</v>
      </c>
      <c r="R331" s="313">
        <v>3</v>
      </c>
      <c r="S331" s="2"/>
      <c r="T331" s="2"/>
    </row>
    <row r="332" spans="1:20" s="129" customFormat="1" ht="26.4" x14ac:dyDescent="0.35">
      <c r="A332" s="304">
        <v>3</v>
      </c>
      <c r="B332" s="299" t="s">
        <v>416</v>
      </c>
      <c r="C332" s="703"/>
      <c r="D332" s="704"/>
      <c r="E332" s="304">
        <v>2</v>
      </c>
      <c r="F332" s="304">
        <v>2</v>
      </c>
      <c r="G332" s="304">
        <v>6</v>
      </c>
      <c r="H332" s="304">
        <v>3</v>
      </c>
      <c r="I332" s="304">
        <v>3</v>
      </c>
      <c r="J332" s="305">
        <f t="shared" si="69"/>
        <v>28800</v>
      </c>
      <c r="K332" s="305">
        <f t="shared" si="70"/>
        <v>46800</v>
      </c>
      <c r="L332" s="305">
        <f t="shared" si="71"/>
        <v>75600</v>
      </c>
      <c r="M332" s="336"/>
      <c r="N332" s="327"/>
      <c r="O332" s="327"/>
      <c r="P332" s="327"/>
      <c r="Q332" s="313">
        <v>3</v>
      </c>
      <c r="R332" s="313">
        <v>3</v>
      </c>
      <c r="S332" s="2"/>
      <c r="T332" s="2"/>
    </row>
    <row r="333" spans="1:20" s="129" customFormat="1" x14ac:dyDescent="0.35">
      <c r="A333" s="278"/>
      <c r="B333" s="307" t="s">
        <v>192</v>
      </c>
      <c r="C333" s="304"/>
      <c r="D333" s="704"/>
      <c r="E333" s="307">
        <f>E334+E335</f>
        <v>4</v>
      </c>
      <c r="F333" s="307">
        <f t="shared" ref="F333:L333" si="73">F334+F335</f>
        <v>4</v>
      </c>
      <c r="G333" s="307">
        <f t="shared" si="73"/>
        <v>12</v>
      </c>
      <c r="H333" s="307">
        <f t="shared" si="73"/>
        <v>6</v>
      </c>
      <c r="I333" s="307">
        <f t="shared" si="73"/>
        <v>6</v>
      </c>
      <c r="J333" s="307">
        <f t="shared" si="73"/>
        <v>57600</v>
      </c>
      <c r="K333" s="307">
        <f t="shared" si="73"/>
        <v>93600</v>
      </c>
      <c r="L333" s="307">
        <f t="shared" si="73"/>
        <v>151200</v>
      </c>
      <c r="M333" s="336"/>
      <c r="N333" s="327"/>
      <c r="O333" s="327"/>
      <c r="P333" s="327"/>
      <c r="Q333" s="361">
        <v>6</v>
      </c>
      <c r="R333" s="361">
        <v>6</v>
      </c>
      <c r="S333" s="2"/>
      <c r="T333" s="2"/>
    </row>
    <row r="334" spans="1:20" s="129" customFormat="1" ht="18" customHeight="1" x14ac:dyDescent="0.35">
      <c r="A334" s="304">
        <v>1</v>
      </c>
      <c r="B334" s="299" t="s">
        <v>417</v>
      </c>
      <c r="C334" s="299" t="s">
        <v>398</v>
      </c>
      <c r="D334" s="704"/>
      <c r="E334" s="304">
        <v>2</v>
      </c>
      <c r="F334" s="304">
        <v>2</v>
      </c>
      <c r="G334" s="304">
        <v>6</v>
      </c>
      <c r="H334" s="304">
        <v>3</v>
      </c>
      <c r="I334" s="304">
        <v>3</v>
      </c>
      <c r="J334" s="305">
        <f t="shared" si="69"/>
        <v>28800</v>
      </c>
      <c r="K334" s="305">
        <f t="shared" si="70"/>
        <v>46800</v>
      </c>
      <c r="L334" s="305">
        <f t="shared" si="71"/>
        <v>75600</v>
      </c>
      <c r="M334" s="336"/>
      <c r="N334" s="327"/>
      <c r="O334" s="327"/>
      <c r="P334" s="327"/>
      <c r="Q334" s="313">
        <v>3</v>
      </c>
      <c r="R334" s="313">
        <v>3</v>
      </c>
      <c r="S334" s="2"/>
      <c r="T334" s="2"/>
    </row>
    <row r="335" spans="1:20" s="129" customFormat="1" x14ac:dyDescent="0.35">
      <c r="A335" s="304">
        <v>2</v>
      </c>
      <c r="B335" s="299" t="s">
        <v>418</v>
      </c>
      <c r="C335" s="299" t="s">
        <v>235</v>
      </c>
      <c r="D335" s="694"/>
      <c r="E335" s="304">
        <v>2</v>
      </c>
      <c r="F335" s="304">
        <v>2</v>
      </c>
      <c r="G335" s="304">
        <v>6</v>
      </c>
      <c r="H335" s="304">
        <v>3</v>
      </c>
      <c r="I335" s="304">
        <v>3</v>
      </c>
      <c r="J335" s="305">
        <f t="shared" si="69"/>
        <v>28800</v>
      </c>
      <c r="K335" s="305">
        <f t="shared" si="70"/>
        <v>46800</v>
      </c>
      <c r="L335" s="305">
        <f t="shared" si="71"/>
        <v>75600</v>
      </c>
      <c r="M335" s="336"/>
      <c r="N335" s="327"/>
      <c r="O335" s="327"/>
      <c r="P335" s="327"/>
      <c r="Q335" s="313">
        <v>3</v>
      </c>
      <c r="R335" s="313">
        <v>3</v>
      </c>
      <c r="S335" s="2"/>
      <c r="T335" s="2"/>
    </row>
    <row r="336" spans="1:20" s="134" customFormat="1" ht="26.4" x14ac:dyDescent="0.25">
      <c r="A336" s="283">
        <v>4</v>
      </c>
      <c r="B336" s="283" t="s">
        <v>109</v>
      </c>
      <c r="C336" s="288"/>
      <c r="D336" s="288"/>
      <c r="E336" s="283"/>
      <c r="F336" s="283"/>
      <c r="G336" s="283"/>
      <c r="H336" s="283"/>
      <c r="I336" s="283"/>
      <c r="J336" s="305">
        <f t="shared" si="69"/>
        <v>0</v>
      </c>
      <c r="K336" s="305">
        <f t="shared" si="70"/>
        <v>0</v>
      </c>
      <c r="L336" s="305">
        <f t="shared" si="71"/>
        <v>0</v>
      </c>
      <c r="M336" s="315"/>
      <c r="N336" s="278"/>
      <c r="O336" s="278"/>
      <c r="P336" s="316"/>
      <c r="Q336" s="358"/>
      <c r="R336" s="358"/>
      <c r="S336" s="133"/>
      <c r="T336" s="133"/>
    </row>
    <row r="337" spans="1:20" s="139" customFormat="1" ht="26.4" x14ac:dyDescent="0.3">
      <c r="A337" s="283" t="s">
        <v>168</v>
      </c>
      <c r="B337" s="296" t="s">
        <v>179</v>
      </c>
      <c r="C337" s="275"/>
      <c r="D337" s="275"/>
      <c r="E337" s="278"/>
      <c r="F337" s="278"/>
      <c r="G337" s="278"/>
      <c r="H337" s="278"/>
      <c r="I337" s="278"/>
      <c r="J337" s="305">
        <f t="shared" si="69"/>
        <v>0</v>
      </c>
      <c r="K337" s="305">
        <f t="shared" si="70"/>
        <v>0</v>
      </c>
      <c r="L337" s="305">
        <f t="shared" si="71"/>
        <v>0</v>
      </c>
      <c r="M337" s="314"/>
      <c r="N337" s="299"/>
      <c r="O337" s="299"/>
      <c r="P337" s="317"/>
      <c r="Q337" s="313"/>
      <c r="R337" s="313"/>
      <c r="S337" s="146"/>
      <c r="T337" s="146"/>
    </row>
    <row r="338" spans="1:20" s="139" customFormat="1" ht="15.6" x14ac:dyDescent="0.3">
      <c r="A338" s="309"/>
      <c r="B338" s="311" t="s">
        <v>4</v>
      </c>
      <c r="C338" s="693" t="s">
        <v>419</v>
      </c>
      <c r="D338" s="693" t="s">
        <v>109</v>
      </c>
      <c r="E338" s="278">
        <f>SUM(E339:E348)</f>
        <v>17</v>
      </c>
      <c r="F338" s="278">
        <f t="shared" ref="F338:L338" si="74">SUM(F339:F348)</f>
        <v>17</v>
      </c>
      <c r="G338" s="278">
        <f t="shared" si="74"/>
        <v>30</v>
      </c>
      <c r="H338" s="278">
        <f t="shared" si="74"/>
        <v>10</v>
      </c>
      <c r="I338" s="278">
        <f t="shared" si="74"/>
        <v>20</v>
      </c>
      <c r="J338" s="278">
        <f t="shared" si="74"/>
        <v>163200</v>
      </c>
      <c r="K338" s="278">
        <f t="shared" si="74"/>
        <v>234600</v>
      </c>
      <c r="L338" s="278">
        <f t="shared" si="74"/>
        <v>397800</v>
      </c>
      <c r="M338" s="314"/>
      <c r="N338" s="299"/>
      <c r="O338" s="299"/>
      <c r="P338" s="317"/>
      <c r="Q338" s="313">
        <f>SUM(Q339:Q348)</f>
        <v>7</v>
      </c>
      <c r="R338" s="313">
        <f>SUM(R339:R348)</f>
        <v>14</v>
      </c>
      <c r="S338" s="146"/>
      <c r="T338" s="146"/>
    </row>
    <row r="339" spans="1:20" s="139" customFormat="1" ht="15.75" customHeight="1" x14ac:dyDescent="0.3">
      <c r="A339" s="304">
        <v>1</v>
      </c>
      <c r="B339" s="330" t="s">
        <v>420</v>
      </c>
      <c r="C339" s="704"/>
      <c r="D339" s="704"/>
      <c r="E339" s="304">
        <v>1</v>
      </c>
      <c r="F339" s="304">
        <v>1</v>
      </c>
      <c r="G339" s="304">
        <v>3</v>
      </c>
      <c r="H339" s="304">
        <v>1</v>
      </c>
      <c r="I339" s="385">
        <v>2</v>
      </c>
      <c r="J339" s="305">
        <f t="shared" si="69"/>
        <v>9600</v>
      </c>
      <c r="K339" s="305">
        <f t="shared" si="70"/>
        <v>13800</v>
      </c>
      <c r="L339" s="305">
        <f t="shared" si="71"/>
        <v>23400</v>
      </c>
      <c r="M339" s="314"/>
      <c r="N339" s="299"/>
      <c r="O339" s="299"/>
      <c r="P339" s="317"/>
      <c r="Q339" s="313"/>
      <c r="R339" s="313"/>
      <c r="S339" s="146"/>
      <c r="T339" s="146"/>
    </row>
    <row r="340" spans="1:20" s="139" customFormat="1" ht="15.6" x14ac:dyDescent="0.3">
      <c r="A340" s="304">
        <v>2</v>
      </c>
      <c r="B340" s="330" t="s">
        <v>421</v>
      </c>
      <c r="C340" s="704"/>
      <c r="D340" s="704"/>
      <c r="E340" s="304">
        <v>1</v>
      </c>
      <c r="F340" s="304">
        <v>1</v>
      </c>
      <c r="G340" s="304">
        <v>3</v>
      </c>
      <c r="H340" s="304">
        <v>1</v>
      </c>
      <c r="I340" s="385">
        <v>2</v>
      </c>
      <c r="J340" s="305">
        <f t="shared" si="69"/>
        <v>9600</v>
      </c>
      <c r="K340" s="305">
        <f t="shared" si="70"/>
        <v>13800</v>
      </c>
      <c r="L340" s="305">
        <f t="shared" si="71"/>
        <v>23400</v>
      </c>
      <c r="M340" s="314"/>
      <c r="N340" s="299"/>
      <c r="O340" s="299"/>
      <c r="P340" s="317"/>
      <c r="Q340" s="313"/>
      <c r="R340" s="313"/>
      <c r="S340" s="146"/>
      <c r="T340" s="146"/>
    </row>
    <row r="341" spans="1:20" s="139" customFormat="1" ht="15.75" customHeight="1" x14ac:dyDescent="0.3">
      <c r="A341" s="304">
        <v>3</v>
      </c>
      <c r="B341" s="330" t="s">
        <v>422</v>
      </c>
      <c r="C341" s="704"/>
      <c r="D341" s="704"/>
      <c r="E341" s="303">
        <v>2</v>
      </c>
      <c r="F341" s="303">
        <v>2</v>
      </c>
      <c r="G341" s="303">
        <v>3</v>
      </c>
      <c r="H341" s="304">
        <v>1</v>
      </c>
      <c r="I341" s="385">
        <v>2</v>
      </c>
      <c r="J341" s="305">
        <f t="shared" si="69"/>
        <v>19200</v>
      </c>
      <c r="K341" s="305">
        <f t="shared" si="70"/>
        <v>27600</v>
      </c>
      <c r="L341" s="305">
        <f t="shared" si="71"/>
        <v>46800</v>
      </c>
      <c r="M341" s="318"/>
      <c r="N341" s="299"/>
      <c r="O341" s="299"/>
      <c r="P341" s="317"/>
      <c r="Q341" s="313">
        <v>1</v>
      </c>
      <c r="R341" s="313">
        <v>2</v>
      </c>
      <c r="S341" s="146"/>
      <c r="T341" s="146"/>
    </row>
    <row r="342" spans="1:20" s="139" customFormat="1" ht="15.6" x14ac:dyDescent="0.3">
      <c r="A342" s="304">
        <v>4</v>
      </c>
      <c r="B342" s="330" t="s">
        <v>423</v>
      </c>
      <c r="C342" s="704"/>
      <c r="D342" s="704"/>
      <c r="E342" s="303">
        <v>2</v>
      </c>
      <c r="F342" s="303">
        <v>2</v>
      </c>
      <c r="G342" s="303">
        <v>3</v>
      </c>
      <c r="H342" s="304">
        <v>1</v>
      </c>
      <c r="I342" s="385">
        <v>2</v>
      </c>
      <c r="J342" s="305">
        <f t="shared" si="69"/>
        <v>19200</v>
      </c>
      <c r="K342" s="305">
        <f t="shared" si="70"/>
        <v>27600</v>
      </c>
      <c r="L342" s="305">
        <f t="shared" si="71"/>
        <v>46800</v>
      </c>
      <c r="M342" s="318"/>
      <c r="N342" s="299"/>
      <c r="O342" s="299"/>
      <c r="P342" s="317"/>
      <c r="Q342" s="313">
        <v>1</v>
      </c>
      <c r="R342" s="313">
        <v>2</v>
      </c>
      <c r="S342" s="146"/>
      <c r="T342" s="146"/>
    </row>
    <row r="343" spans="1:20" s="139" customFormat="1" ht="15.75" customHeight="1" x14ac:dyDescent="0.3">
      <c r="A343" s="304">
        <v>5</v>
      </c>
      <c r="B343" s="330" t="s">
        <v>424</v>
      </c>
      <c r="C343" s="704"/>
      <c r="D343" s="704"/>
      <c r="E343" s="303">
        <v>2</v>
      </c>
      <c r="F343" s="303">
        <v>2</v>
      </c>
      <c r="G343" s="303">
        <v>3</v>
      </c>
      <c r="H343" s="304">
        <v>1</v>
      </c>
      <c r="I343" s="385">
        <v>2</v>
      </c>
      <c r="J343" s="305">
        <f t="shared" si="69"/>
        <v>19200</v>
      </c>
      <c r="K343" s="305">
        <f t="shared" si="70"/>
        <v>27600</v>
      </c>
      <c r="L343" s="305">
        <f t="shared" si="71"/>
        <v>46800</v>
      </c>
      <c r="M343" s="318"/>
      <c r="N343" s="299"/>
      <c r="O343" s="299"/>
      <c r="P343" s="317"/>
      <c r="Q343" s="313">
        <v>1</v>
      </c>
      <c r="R343" s="313">
        <v>2</v>
      </c>
      <c r="S343" s="146"/>
      <c r="T343" s="146"/>
    </row>
    <row r="344" spans="1:20" s="139" customFormat="1" ht="15.6" x14ac:dyDescent="0.3">
      <c r="A344" s="304">
        <v>6</v>
      </c>
      <c r="B344" s="330" t="s">
        <v>425</v>
      </c>
      <c r="C344" s="704"/>
      <c r="D344" s="704"/>
      <c r="E344" s="303">
        <v>2</v>
      </c>
      <c r="F344" s="303">
        <v>2</v>
      </c>
      <c r="G344" s="303">
        <v>3</v>
      </c>
      <c r="H344" s="304">
        <v>1</v>
      </c>
      <c r="I344" s="385">
        <v>2</v>
      </c>
      <c r="J344" s="305">
        <f t="shared" si="69"/>
        <v>19200</v>
      </c>
      <c r="K344" s="305">
        <f t="shared" si="70"/>
        <v>27600</v>
      </c>
      <c r="L344" s="305">
        <f t="shared" si="71"/>
        <v>46800</v>
      </c>
      <c r="M344" s="318"/>
      <c r="N344" s="299"/>
      <c r="O344" s="299"/>
      <c r="P344" s="317"/>
      <c r="Q344" s="313">
        <v>1</v>
      </c>
      <c r="R344" s="313">
        <v>2</v>
      </c>
      <c r="S344" s="146"/>
      <c r="T344" s="146"/>
    </row>
    <row r="345" spans="1:20" s="139" customFormat="1" ht="15.6" x14ac:dyDescent="0.3">
      <c r="A345" s="304">
        <v>7</v>
      </c>
      <c r="B345" s="330" t="s">
        <v>426</v>
      </c>
      <c r="C345" s="704"/>
      <c r="D345" s="704"/>
      <c r="E345" s="303">
        <v>2</v>
      </c>
      <c r="F345" s="303">
        <v>2</v>
      </c>
      <c r="G345" s="303">
        <v>3</v>
      </c>
      <c r="H345" s="304">
        <v>1</v>
      </c>
      <c r="I345" s="385">
        <v>2</v>
      </c>
      <c r="J345" s="305">
        <f t="shared" si="69"/>
        <v>19200</v>
      </c>
      <c r="K345" s="305">
        <f t="shared" si="70"/>
        <v>27600</v>
      </c>
      <c r="L345" s="305">
        <f t="shared" si="71"/>
        <v>46800</v>
      </c>
      <c r="M345" s="318"/>
      <c r="N345" s="299"/>
      <c r="O345" s="299"/>
      <c r="P345" s="317"/>
      <c r="Q345" s="313">
        <v>1</v>
      </c>
      <c r="R345" s="313">
        <v>2</v>
      </c>
      <c r="S345" s="146"/>
      <c r="T345" s="146"/>
    </row>
    <row r="346" spans="1:20" s="139" customFormat="1" ht="15.6" x14ac:dyDescent="0.3">
      <c r="A346" s="304">
        <v>8</v>
      </c>
      <c r="B346" s="330" t="s">
        <v>427</v>
      </c>
      <c r="C346" s="704"/>
      <c r="D346" s="704"/>
      <c r="E346" s="303">
        <v>2</v>
      </c>
      <c r="F346" s="303">
        <v>2</v>
      </c>
      <c r="G346" s="303">
        <v>3</v>
      </c>
      <c r="H346" s="304">
        <v>1</v>
      </c>
      <c r="I346" s="385">
        <v>2</v>
      </c>
      <c r="J346" s="305">
        <f t="shared" si="69"/>
        <v>19200</v>
      </c>
      <c r="K346" s="305">
        <f t="shared" si="70"/>
        <v>27600</v>
      </c>
      <c r="L346" s="305">
        <f t="shared" si="71"/>
        <v>46800</v>
      </c>
      <c r="M346" s="318"/>
      <c r="N346" s="299"/>
      <c r="O346" s="299"/>
      <c r="P346" s="317"/>
      <c r="Q346" s="313">
        <v>1</v>
      </c>
      <c r="R346" s="313">
        <v>2</v>
      </c>
      <c r="S346" s="146"/>
      <c r="T346" s="146"/>
    </row>
    <row r="347" spans="1:20" s="139" customFormat="1" ht="15.6" x14ac:dyDescent="0.3">
      <c r="A347" s="304">
        <v>9</v>
      </c>
      <c r="B347" s="330" t="s">
        <v>428</v>
      </c>
      <c r="C347" s="704"/>
      <c r="D347" s="704"/>
      <c r="E347" s="303">
        <v>2</v>
      </c>
      <c r="F347" s="303">
        <v>2</v>
      </c>
      <c r="G347" s="303">
        <v>3</v>
      </c>
      <c r="H347" s="304">
        <v>1</v>
      </c>
      <c r="I347" s="385">
        <v>2</v>
      </c>
      <c r="J347" s="305">
        <f t="shared" si="69"/>
        <v>19200</v>
      </c>
      <c r="K347" s="305">
        <f t="shared" si="70"/>
        <v>27600</v>
      </c>
      <c r="L347" s="305">
        <f t="shared" si="71"/>
        <v>46800</v>
      </c>
      <c r="M347" s="318"/>
      <c r="N347" s="299"/>
      <c r="O347" s="299"/>
      <c r="P347" s="317"/>
      <c r="Q347" s="313">
        <v>1</v>
      </c>
      <c r="R347" s="313">
        <v>2</v>
      </c>
      <c r="S347" s="146"/>
      <c r="T347" s="146"/>
    </row>
    <row r="348" spans="1:20" s="139" customFormat="1" ht="15.6" x14ac:dyDescent="0.3">
      <c r="A348" s="304">
        <v>10</v>
      </c>
      <c r="B348" s="330" t="s">
        <v>429</v>
      </c>
      <c r="C348" s="694"/>
      <c r="D348" s="694"/>
      <c r="E348" s="303">
        <v>1</v>
      </c>
      <c r="F348" s="303">
        <v>1</v>
      </c>
      <c r="G348" s="303">
        <v>3</v>
      </c>
      <c r="H348" s="304">
        <v>1</v>
      </c>
      <c r="I348" s="385">
        <v>2</v>
      </c>
      <c r="J348" s="305">
        <f t="shared" si="69"/>
        <v>9600</v>
      </c>
      <c r="K348" s="305">
        <f t="shared" si="70"/>
        <v>13800</v>
      </c>
      <c r="L348" s="305">
        <f t="shared" si="71"/>
        <v>23400</v>
      </c>
      <c r="M348" s="318"/>
      <c r="N348" s="299"/>
      <c r="O348" s="299"/>
      <c r="P348" s="317"/>
      <c r="Q348" s="313"/>
      <c r="R348" s="313"/>
      <c r="S348" s="146"/>
      <c r="T348" s="146"/>
    </row>
    <row r="349" spans="1:20" s="145" customFormat="1" ht="15.6" x14ac:dyDescent="0.3">
      <c r="A349" s="278"/>
      <c r="B349" s="307" t="s">
        <v>6</v>
      </c>
      <c r="C349" s="278"/>
      <c r="D349" s="278"/>
      <c r="E349" s="278">
        <f>SUM(E350:E359)</f>
        <v>17</v>
      </c>
      <c r="F349" s="278">
        <f t="shared" ref="F349:L349" si="75">SUM(F350:F359)</f>
        <v>17</v>
      </c>
      <c r="G349" s="278">
        <f t="shared" si="75"/>
        <v>30</v>
      </c>
      <c r="H349" s="278">
        <f t="shared" si="75"/>
        <v>10</v>
      </c>
      <c r="I349" s="278">
        <f t="shared" si="75"/>
        <v>20</v>
      </c>
      <c r="J349" s="278">
        <f t="shared" si="75"/>
        <v>163200</v>
      </c>
      <c r="K349" s="278">
        <f t="shared" si="75"/>
        <v>234600</v>
      </c>
      <c r="L349" s="278">
        <f t="shared" si="75"/>
        <v>397800</v>
      </c>
      <c r="M349" s="281"/>
      <c r="N349" s="307"/>
      <c r="O349" s="307"/>
      <c r="P349" s="319"/>
      <c r="Q349" s="360">
        <f>SUM(Q350:Q359)</f>
        <v>7</v>
      </c>
      <c r="R349" s="360">
        <f>SUM(R350:R359)</f>
        <v>14</v>
      </c>
      <c r="S349" s="147"/>
      <c r="T349" s="147"/>
    </row>
    <row r="350" spans="1:20" s="145" customFormat="1" ht="15.6" x14ac:dyDescent="0.3">
      <c r="A350" s="304">
        <v>1</v>
      </c>
      <c r="B350" s="330" t="s">
        <v>420</v>
      </c>
      <c r="C350" s="693" t="s">
        <v>419</v>
      </c>
      <c r="D350" s="704" t="s">
        <v>109</v>
      </c>
      <c r="E350" s="304">
        <v>1</v>
      </c>
      <c r="F350" s="304">
        <v>1</v>
      </c>
      <c r="G350" s="304">
        <v>3</v>
      </c>
      <c r="H350" s="304">
        <v>1</v>
      </c>
      <c r="I350" s="385">
        <v>2</v>
      </c>
      <c r="J350" s="305">
        <f t="shared" si="69"/>
        <v>9600</v>
      </c>
      <c r="K350" s="305">
        <f t="shared" si="70"/>
        <v>13800</v>
      </c>
      <c r="L350" s="305">
        <f t="shared" si="71"/>
        <v>23400</v>
      </c>
      <c r="M350" s="314"/>
      <c r="N350" s="299"/>
      <c r="O350" s="299"/>
      <c r="P350" s="319"/>
      <c r="Q350" s="360"/>
      <c r="R350" s="360"/>
      <c r="S350" s="147"/>
      <c r="T350" s="147"/>
    </row>
    <row r="351" spans="1:20" s="145" customFormat="1" ht="15.6" x14ac:dyDescent="0.3">
      <c r="A351" s="304">
        <v>2</v>
      </c>
      <c r="B351" s="330" t="s">
        <v>421</v>
      </c>
      <c r="C351" s="704"/>
      <c r="D351" s="704"/>
      <c r="E351" s="304">
        <v>1</v>
      </c>
      <c r="F351" s="304">
        <v>1</v>
      </c>
      <c r="G351" s="304">
        <v>3</v>
      </c>
      <c r="H351" s="304">
        <v>1</v>
      </c>
      <c r="I351" s="385">
        <v>2</v>
      </c>
      <c r="J351" s="305">
        <f t="shared" si="69"/>
        <v>9600</v>
      </c>
      <c r="K351" s="305">
        <f t="shared" si="70"/>
        <v>13800</v>
      </c>
      <c r="L351" s="305">
        <f t="shared" si="71"/>
        <v>23400</v>
      </c>
      <c r="M351" s="314"/>
      <c r="N351" s="299"/>
      <c r="O351" s="299"/>
      <c r="P351" s="319"/>
      <c r="Q351" s="313">
        <v>1</v>
      </c>
      <c r="R351" s="313">
        <v>2</v>
      </c>
      <c r="S351" s="147"/>
      <c r="T351" s="147"/>
    </row>
    <row r="352" spans="1:20" s="145" customFormat="1" ht="15.75" customHeight="1" x14ac:dyDescent="0.3">
      <c r="A352" s="304">
        <v>3</v>
      </c>
      <c r="B352" s="330" t="s">
        <v>422</v>
      </c>
      <c r="C352" s="704"/>
      <c r="D352" s="704"/>
      <c r="E352" s="303">
        <v>2</v>
      </c>
      <c r="F352" s="303">
        <v>2</v>
      </c>
      <c r="G352" s="303">
        <v>3</v>
      </c>
      <c r="H352" s="304">
        <v>1</v>
      </c>
      <c r="I352" s="385">
        <v>2</v>
      </c>
      <c r="J352" s="305">
        <f t="shared" si="69"/>
        <v>19200</v>
      </c>
      <c r="K352" s="305">
        <f t="shared" si="70"/>
        <v>27600</v>
      </c>
      <c r="L352" s="305">
        <f t="shared" si="71"/>
        <v>46800</v>
      </c>
      <c r="M352" s="318"/>
      <c r="N352" s="299"/>
      <c r="O352" s="299"/>
      <c r="P352" s="319"/>
      <c r="Q352" s="313">
        <v>1</v>
      </c>
      <c r="R352" s="313">
        <v>2</v>
      </c>
      <c r="S352" s="147"/>
      <c r="T352" s="147"/>
    </row>
    <row r="353" spans="1:20" s="145" customFormat="1" ht="15.6" x14ac:dyDescent="0.3">
      <c r="A353" s="304">
        <v>4</v>
      </c>
      <c r="B353" s="330" t="s">
        <v>423</v>
      </c>
      <c r="C353" s="704"/>
      <c r="D353" s="704"/>
      <c r="E353" s="303">
        <v>2</v>
      </c>
      <c r="F353" s="303">
        <v>2</v>
      </c>
      <c r="G353" s="303">
        <v>3</v>
      </c>
      <c r="H353" s="304">
        <v>1</v>
      </c>
      <c r="I353" s="385">
        <v>2</v>
      </c>
      <c r="J353" s="305">
        <f t="shared" si="69"/>
        <v>19200</v>
      </c>
      <c r="K353" s="305">
        <f t="shared" si="70"/>
        <v>27600</v>
      </c>
      <c r="L353" s="305">
        <f t="shared" si="71"/>
        <v>46800</v>
      </c>
      <c r="M353" s="318"/>
      <c r="N353" s="299"/>
      <c r="O353" s="299"/>
      <c r="P353" s="319"/>
      <c r="Q353" s="313">
        <v>1</v>
      </c>
      <c r="R353" s="313">
        <v>2</v>
      </c>
      <c r="S353" s="147"/>
      <c r="T353" s="147"/>
    </row>
    <row r="354" spans="1:20" s="145" customFormat="1" ht="15.6" x14ac:dyDescent="0.3">
      <c r="A354" s="304">
        <v>5</v>
      </c>
      <c r="B354" s="330" t="s">
        <v>424</v>
      </c>
      <c r="C354" s="704"/>
      <c r="D354" s="704"/>
      <c r="E354" s="303">
        <v>2</v>
      </c>
      <c r="F354" s="303">
        <v>2</v>
      </c>
      <c r="G354" s="303">
        <v>3</v>
      </c>
      <c r="H354" s="304">
        <v>1</v>
      </c>
      <c r="I354" s="385">
        <v>2</v>
      </c>
      <c r="J354" s="305">
        <f t="shared" si="69"/>
        <v>19200</v>
      </c>
      <c r="K354" s="305">
        <f t="shared" si="70"/>
        <v>27600</v>
      </c>
      <c r="L354" s="305">
        <f t="shared" si="71"/>
        <v>46800</v>
      </c>
      <c r="M354" s="318"/>
      <c r="N354" s="299"/>
      <c r="O354" s="299"/>
      <c r="P354" s="319"/>
      <c r="Q354" s="313">
        <v>1</v>
      </c>
      <c r="R354" s="313">
        <v>2</v>
      </c>
      <c r="S354" s="147"/>
      <c r="T354" s="147"/>
    </row>
    <row r="355" spans="1:20" s="145" customFormat="1" ht="15.6" x14ac:dyDescent="0.3">
      <c r="A355" s="304">
        <v>6</v>
      </c>
      <c r="B355" s="330" t="s">
        <v>425</v>
      </c>
      <c r="C355" s="704"/>
      <c r="D355" s="704"/>
      <c r="E355" s="303">
        <v>2</v>
      </c>
      <c r="F355" s="303">
        <v>2</v>
      </c>
      <c r="G355" s="303">
        <v>3</v>
      </c>
      <c r="H355" s="304">
        <v>1</v>
      </c>
      <c r="I355" s="385">
        <v>2</v>
      </c>
      <c r="J355" s="305">
        <f t="shared" si="69"/>
        <v>19200</v>
      </c>
      <c r="K355" s="305">
        <f t="shared" si="70"/>
        <v>27600</v>
      </c>
      <c r="L355" s="305">
        <f t="shared" si="71"/>
        <v>46800</v>
      </c>
      <c r="M355" s="318"/>
      <c r="N355" s="299"/>
      <c r="O355" s="299"/>
      <c r="P355" s="319"/>
      <c r="Q355" s="313">
        <v>1</v>
      </c>
      <c r="R355" s="313">
        <v>2</v>
      </c>
      <c r="S355" s="147"/>
      <c r="T355" s="147"/>
    </row>
    <row r="356" spans="1:20" s="145" customFormat="1" ht="15.6" x14ac:dyDescent="0.3">
      <c r="A356" s="304">
        <v>7</v>
      </c>
      <c r="B356" s="330" t="s">
        <v>426</v>
      </c>
      <c r="C356" s="704"/>
      <c r="D356" s="704"/>
      <c r="E356" s="303">
        <v>2</v>
      </c>
      <c r="F356" s="303">
        <v>2</v>
      </c>
      <c r="G356" s="303">
        <v>3</v>
      </c>
      <c r="H356" s="304">
        <v>1</v>
      </c>
      <c r="I356" s="385">
        <v>2</v>
      </c>
      <c r="J356" s="305">
        <f t="shared" si="69"/>
        <v>19200</v>
      </c>
      <c r="K356" s="305">
        <f t="shared" si="70"/>
        <v>27600</v>
      </c>
      <c r="L356" s="305">
        <f t="shared" si="71"/>
        <v>46800</v>
      </c>
      <c r="M356" s="318"/>
      <c r="N356" s="299"/>
      <c r="O356" s="299"/>
      <c r="P356" s="319"/>
      <c r="Q356" s="313">
        <v>1</v>
      </c>
      <c r="R356" s="313">
        <v>2</v>
      </c>
      <c r="S356" s="147"/>
      <c r="T356" s="147"/>
    </row>
    <row r="357" spans="1:20" s="139" customFormat="1" ht="15.6" x14ac:dyDescent="0.3">
      <c r="A357" s="304">
        <v>8</v>
      </c>
      <c r="B357" s="330" t="s">
        <v>427</v>
      </c>
      <c r="C357" s="704"/>
      <c r="D357" s="704"/>
      <c r="E357" s="303">
        <v>2</v>
      </c>
      <c r="F357" s="303">
        <v>2</v>
      </c>
      <c r="G357" s="303">
        <v>3</v>
      </c>
      <c r="H357" s="304">
        <v>1</v>
      </c>
      <c r="I357" s="385">
        <v>2</v>
      </c>
      <c r="J357" s="305">
        <f t="shared" si="69"/>
        <v>19200</v>
      </c>
      <c r="K357" s="305">
        <f t="shared" si="70"/>
        <v>27600</v>
      </c>
      <c r="L357" s="305">
        <f t="shared" si="71"/>
        <v>46800</v>
      </c>
      <c r="M357" s="318"/>
      <c r="N357" s="299"/>
      <c r="O357" s="299"/>
      <c r="P357" s="317"/>
      <c r="Q357" s="313">
        <v>1</v>
      </c>
      <c r="R357" s="313">
        <v>2</v>
      </c>
      <c r="S357" s="146"/>
      <c r="T357" s="146"/>
    </row>
    <row r="358" spans="1:20" s="139" customFormat="1" ht="15.6" x14ac:dyDescent="0.3">
      <c r="A358" s="304">
        <v>9</v>
      </c>
      <c r="B358" s="330" t="s">
        <v>428</v>
      </c>
      <c r="C358" s="704"/>
      <c r="D358" s="704"/>
      <c r="E358" s="303">
        <v>2</v>
      </c>
      <c r="F358" s="303">
        <v>2</v>
      </c>
      <c r="G358" s="303">
        <v>3</v>
      </c>
      <c r="H358" s="304">
        <v>1</v>
      </c>
      <c r="I358" s="385">
        <v>2</v>
      </c>
      <c r="J358" s="305">
        <f t="shared" si="69"/>
        <v>19200</v>
      </c>
      <c r="K358" s="305">
        <f t="shared" si="70"/>
        <v>27600</v>
      </c>
      <c r="L358" s="305">
        <f t="shared" si="71"/>
        <v>46800</v>
      </c>
      <c r="M358" s="318"/>
      <c r="N358" s="299"/>
      <c r="O358" s="299"/>
      <c r="P358" s="317"/>
      <c r="Q358" s="313"/>
      <c r="R358" s="313"/>
      <c r="S358" s="146"/>
      <c r="T358" s="146"/>
    </row>
    <row r="359" spans="1:20" s="139" customFormat="1" ht="15.6" x14ac:dyDescent="0.3">
      <c r="A359" s="304">
        <v>10</v>
      </c>
      <c r="B359" s="330" t="s">
        <v>429</v>
      </c>
      <c r="C359" s="694"/>
      <c r="D359" s="694"/>
      <c r="E359" s="303">
        <v>1</v>
      </c>
      <c r="F359" s="303">
        <v>1</v>
      </c>
      <c r="G359" s="303">
        <v>3</v>
      </c>
      <c r="H359" s="304">
        <v>1</v>
      </c>
      <c r="I359" s="385">
        <v>2</v>
      </c>
      <c r="J359" s="305">
        <f t="shared" si="69"/>
        <v>9600</v>
      </c>
      <c r="K359" s="305">
        <f t="shared" si="70"/>
        <v>13800</v>
      </c>
      <c r="L359" s="305">
        <f t="shared" si="71"/>
        <v>23400</v>
      </c>
      <c r="M359" s="318"/>
      <c r="N359" s="299"/>
      <c r="O359" s="299"/>
      <c r="P359" s="317"/>
      <c r="Q359" s="313"/>
      <c r="R359" s="313"/>
      <c r="S359" s="146"/>
      <c r="T359" s="146"/>
    </row>
    <row r="360" spans="1:20" s="145" customFormat="1" ht="15.6" x14ac:dyDescent="0.3">
      <c r="A360" s="304"/>
      <c r="B360" s="307" t="s">
        <v>7</v>
      </c>
      <c r="C360" s="278"/>
      <c r="D360" s="278"/>
      <c r="E360" s="278">
        <f>SUM(E361:E370)</f>
        <v>17</v>
      </c>
      <c r="F360" s="278">
        <f t="shared" ref="F360:L360" si="76">SUM(F361:F370)</f>
        <v>17</v>
      </c>
      <c r="G360" s="278">
        <f t="shared" si="76"/>
        <v>30</v>
      </c>
      <c r="H360" s="278">
        <f t="shared" si="76"/>
        <v>10</v>
      </c>
      <c r="I360" s="278">
        <f t="shared" si="76"/>
        <v>20</v>
      </c>
      <c r="J360" s="278">
        <f t="shared" si="76"/>
        <v>163200</v>
      </c>
      <c r="K360" s="278">
        <f t="shared" si="76"/>
        <v>234600</v>
      </c>
      <c r="L360" s="278">
        <f t="shared" si="76"/>
        <v>397800</v>
      </c>
      <c r="M360" s="281"/>
      <c r="N360" s="307"/>
      <c r="O360" s="307"/>
      <c r="P360" s="319"/>
      <c r="Q360" s="360">
        <f>SUM(Q361:Q370)</f>
        <v>7</v>
      </c>
      <c r="R360" s="360">
        <f>SUM(R361:R370)</f>
        <v>14</v>
      </c>
      <c r="S360" s="147"/>
      <c r="T360" s="147"/>
    </row>
    <row r="361" spans="1:20" s="145" customFormat="1" ht="15.6" x14ac:dyDescent="0.3">
      <c r="A361" s="304">
        <v>1</v>
      </c>
      <c r="B361" s="330" t="s">
        <v>420</v>
      </c>
      <c r="C361" s="362"/>
      <c r="D361" s="704" t="s">
        <v>109</v>
      </c>
      <c r="E361" s="304">
        <v>1</v>
      </c>
      <c r="F361" s="304">
        <v>1</v>
      </c>
      <c r="G361" s="304">
        <v>3</v>
      </c>
      <c r="H361" s="304">
        <v>1</v>
      </c>
      <c r="I361" s="385">
        <v>2</v>
      </c>
      <c r="J361" s="305">
        <f t="shared" si="69"/>
        <v>9600</v>
      </c>
      <c r="K361" s="305">
        <f t="shared" si="70"/>
        <v>13800</v>
      </c>
      <c r="L361" s="305">
        <f t="shared" si="71"/>
        <v>23400</v>
      </c>
      <c r="M361" s="314"/>
      <c r="N361" s="299"/>
      <c r="O361" s="299"/>
      <c r="P361" s="319"/>
      <c r="Q361" s="360"/>
      <c r="R361" s="360"/>
      <c r="S361" s="147"/>
      <c r="T361" s="147"/>
    </row>
    <row r="362" spans="1:20" s="145" customFormat="1" ht="15.6" x14ac:dyDescent="0.3">
      <c r="A362" s="304">
        <v>2</v>
      </c>
      <c r="B362" s="330" t="s">
        <v>421</v>
      </c>
      <c r="C362" s="362"/>
      <c r="D362" s="704"/>
      <c r="E362" s="304">
        <v>1</v>
      </c>
      <c r="F362" s="304">
        <v>1</v>
      </c>
      <c r="G362" s="304">
        <v>3</v>
      </c>
      <c r="H362" s="304">
        <v>1</v>
      </c>
      <c r="I362" s="385">
        <v>2</v>
      </c>
      <c r="J362" s="305">
        <f t="shared" si="69"/>
        <v>9600</v>
      </c>
      <c r="K362" s="305">
        <f t="shared" si="70"/>
        <v>13800</v>
      </c>
      <c r="L362" s="305">
        <f t="shared" si="71"/>
        <v>23400</v>
      </c>
      <c r="M362" s="314"/>
      <c r="N362" s="299"/>
      <c r="O362" s="299"/>
      <c r="P362" s="319"/>
      <c r="Q362" s="360"/>
      <c r="R362" s="360"/>
      <c r="S362" s="147"/>
      <c r="T362" s="147"/>
    </row>
    <row r="363" spans="1:20" s="145" customFormat="1" ht="15.6" x14ac:dyDescent="0.3">
      <c r="A363" s="304">
        <v>3</v>
      </c>
      <c r="B363" s="330" t="s">
        <v>422</v>
      </c>
      <c r="C363" s="704" t="s">
        <v>419</v>
      </c>
      <c r="D363" s="704"/>
      <c r="E363" s="303">
        <v>2</v>
      </c>
      <c r="F363" s="303">
        <v>2</v>
      </c>
      <c r="G363" s="303">
        <v>3</v>
      </c>
      <c r="H363" s="304">
        <v>1</v>
      </c>
      <c r="I363" s="385">
        <v>2</v>
      </c>
      <c r="J363" s="305">
        <f t="shared" si="69"/>
        <v>19200</v>
      </c>
      <c r="K363" s="305">
        <f t="shared" si="70"/>
        <v>27600</v>
      </c>
      <c r="L363" s="305">
        <f t="shared" si="71"/>
        <v>46800</v>
      </c>
      <c r="M363" s="318"/>
      <c r="N363" s="299"/>
      <c r="O363" s="299"/>
      <c r="P363" s="319"/>
      <c r="Q363" s="313">
        <v>1</v>
      </c>
      <c r="R363" s="313">
        <v>2</v>
      </c>
      <c r="S363" s="147"/>
      <c r="T363" s="147"/>
    </row>
    <row r="364" spans="1:20" s="145" customFormat="1" ht="15.6" x14ac:dyDescent="0.3">
      <c r="A364" s="304">
        <v>4</v>
      </c>
      <c r="B364" s="330" t="s">
        <v>423</v>
      </c>
      <c r="C364" s="704"/>
      <c r="D364" s="704"/>
      <c r="E364" s="303">
        <v>2</v>
      </c>
      <c r="F364" s="303">
        <v>2</v>
      </c>
      <c r="G364" s="303">
        <v>3</v>
      </c>
      <c r="H364" s="304">
        <v>1</v>
      </c>
      <c r="I364" s="385">
        <v>2</v>
      </c>
      <c r="J364" s="305">
        <f t="shared" si="69"/>
        <v>19200</v>
      </c>
      <c r="K364" s="305">
        <f t="shared" si="70"/>
        <v>27600</v>
      </c>
      <c r="L364" s="305">
        <f t="shared" si="71"/>
        <v>46800</v>
      </c>
      <c r="M364" s="318"/>
      <c r="N364" s="299"/>
      <c r="O364" s="299"/>
      <c r="P364" s="319"/>
      <c r="Q364" s="313">
        <v>1</v>
      </c>
      <c r="R364" s="313">
        <v>2</v>
      </c>
      <c r="S364" s="147"/>
      <c r="T364" s="147"/>
    </row>
    <row r="365" spans="1:20" s="145" customFormat="1" ht="15.6" x14ac:dyDescent="0.3">
      <c r="A365" s="304">
        <v>5</v>
      </c>
      <c r="B365" s="330" t="s">
        <v>424</v>
      </c>
      <c r="C365" s="704"/>
      <c r="D365" s="704"/>
      <c r="E365" s="303">
        <v>2</v>
      </c>
      <c r="F365" s="303">
        <v>2</v>
      </c>
      <c r="G365" s="303">
        <v>3</v>
      </c>
      <c r="H365" s="304">
        <v>1</v>
      </c>
      <c r="I365" s="385">
        <v>2</v>
      </c>
      <c r="J365" s="305">
        <f t="shared" si="69"/>
        <v>19200</v>
      </c>
      <c r="K365" s="305">
        <f t="shared" si="70"/>
        <v>27600</v>
      </c>
      <c r="L365" s="305">
        <f t="shared" si="71"/>
        <v>46800</v>
      </c>
      <c r="M365" s="318"/>
      <c r="N365" s="299"/>
      <c r="O365" s="299"/>
      <c r="P365" s="319"/>
      <c r="Q365" s="313">
        <v>1</v>
      </c>
      <c r="R365" s="313">
        <v>2</v>
      </c>
      <c r="S365" s="147"/>
      <c r="T365" s="147"/>
    </row>
    <row r="366" spans="1:20" s="145" customFormat="1" ht="15.6" x14ac:dyDescent="0.3">
      <c r="A366" s="304">
        <v>6</v>
      </c>
      <c r="B366" s="330" t="s">
        <v>425</v>
      </c>
      <c r="C366" s="704"/>
      <c r="D366" s="704"/>
      <c r="E366" s="303">
        <v>2</v>
      </c>
      <c r="F366" s="303">
        <v>2</v>
      </c>
      <c r="G366" s="303">
        <v>3</v>
      </c>
      <c r="H366" s="304">
        <v>1</v>
      </c>
      <c r="I366" s="385">
        <v>2</v>
      </c>
      <c r="J366" s="305">
        <f t="shared" si="69"/>
        <v>19200</v>
      </c>
      <c r="K366" s="305">
        <f t="shared" si="70"/>
        <v>27600</v>
      </c>
      <c r="L366" s="305">
        <f t="shared" si="71"/>
        <v>46800</v>
      </c>
      <c r="M366" s="318"/>
      <c r="N366" s="299"/>
      <c r="O366" s="299"/>
      <c r="P366" s="319"/>
      <c r="Q366" s="313">
        <v>1</v>
      </c>
      <c r="R366" s="313">
        <v>2</v>
      </c>
      <c r="S366" s="147"/>
      <c r="T366" s="147"/>
    </row>
    <row r="367" spans="1:20" s="145" customFormat="1" ht="15.6" x14ac:dyDescent="0.3">
      <c r="A367" s="304">
        <v>7</v>
      </c>
      <c r="B367" s="330" t="s">
        <v>426</v>
      </c>
      <c r="C367" s="704"/>
      <c r="D367" s="704"/>
      <c r="E367" s="303">
        <v>2</v>
      </c>
      <c r="F367" s="303">
        <v>2</v>
      </c>
      <c r="G367" s="303">
        <v>3</v>
      </c>
      <c r="H367" s="304">
        <v>1</v>
      </c>
      <c r="I367" s="385">
        <v>2</v>
      </c>
      <c r="J367" s="305">
        <f t="shared" si="69"/>
        <v>19200</v>
      </c>
      <c r="K367" s="305">
        <f t="shared" si="70"/>
        <v>27600</v>
      </c>
      <c r="L367" s="305">
        <f t="shared" si="71"/>
        <v>46800</v>
      </c>
      <c r="M367" s="318"/>
      <c r="N367" s="299"/>
      <c r="O367" s="299"/>
      <c r="P367" s="319"/>
      <c r="Q367" s="313">
        <v>1</v>
      </c>
      <c r="R367" s="313">
        <v>2</v>
      </c>
      <c r="S367" s="147"/>
      <c r="T367" s="147"/>
    </row>
    <row r="368" spans="1:20" s="139" customFormat="1" ht="15.6" x14ac:dyDescent="0.3">
      <c r="A368" s="304">
        <v>8</v>
      </c>
      <c r="B368" s="330" t="s">
        <v>427</v>
      </c>
      <c r="C368" s="704"/>
      <c r="D368" s="704"/>
      <c r="E368" s="303">
        <v>2</v>
      </c>
      <c r="F368" s="303">
        <v>2</v>
      </c>
      <c r="G368" s="303">
        <v>3</v>
      </c>
      <c r="H368" s="304">
        <v>1</v>
      </c>
      <c r="I368" s="385">
        <v>2</v>
      </c>
      <c r="J368" s="305">
        <f t="shared" si="69"/>
        <v>19200</v>
      </c>
      <c r="K368" s="305">
        <f t="shared" si="70"/>
        <v>27600</v>
      </c>
      <c r="L368" s="305">
        <f t="shared" si="71"/>
        <v>46800</v>
      </c>
      <c r="M368" s="318"/>
      <c r="N368" s="299"/>
      <c r="O368" s="299"/>
      <c r="P368" s="317"/>
      <c r="Q368" s="313">
        <v>1</v>
      </c>
      <c r="R368" s="313">
        <v>2</v>
      </c>
      <c r="S368" s="146"/>
      <c r="T368" s="146"/>
    </row>
    <row r="369" spans="1:20" s="139" customFormat="1" ht="15.6" x14ac:dyDescent="0.3">
      <c r="A369" s="304">
        <v>9</v>
      </c>
      <c r="B369" s="330" t="s">
        <v>428</v>
      </c>
      <c r="C369" s="301"/>
      <c r="D369" s="704"/>
      <c r="E369" s="303">
        <v>2</v>
      </c>
      <c r="F369" s="303">
        <v>2</v>
      </c>
      <c r="G369" s="303">
        <v>3</v>
      </c>
      <c r="H369" s="304">
        <v>1</v>
      </c>
      <c r="I369" s="385">
        <v>2</v>
      </c>
      <c r="J369" s="305">
        <f t="shared" si="69"/>
        <v>19200</v>
      </c>
      <c r="K369" s="305">
        <f t="shared" si="70"/>
        <v>27600</v>
      </c>
      <c r="L369" s="305">
        <f t="shared" si="71"/>
        <v>46800</v>
      </c>
      <c r="M369" s="318"/>
      <c r="N369" s="299"/>
      <c r="O369" s="299"/>
      <c r="P369" s="317"/>
      <c r="Q369" s="313">
        <v>1</v>
      </c>
      <c r="R369" s="313">
        <v>2</v>
      </c>
      <c r="S369" s="146"/>
      <c r="T369" s="146"/>
    </row>
    <row r="370" spans="1:20" s="139" customFormat="1" ht="15.6" x14ac:dyDescent="0.3">
      <c r="A370" s="304">
        <v>10</v>
      </c>
      <c r="B370" s="330" t="s">
        <v>429</v>
      </c>
      <c r="C370" s="301"/>
      <c r="D370" s="694"/>
      <c r="E370" s="303">
        <v>1</v>
      </c>
      <c r="F370" s="303">
        <v>1</v>
      </c>
      <c r="G370" s="303">
        <v>3</v>
      </c>
      <c r="H370" s="304">
        <v>1</v>
      </c>
      <c r="I370" s="385">
        <v>2</v>
      </c>
      <c r="J370" s="305">
        <f t="shared" si="69"/>
        <v>9600</v>
      </c>
      <c r="K370" s="305">
        <f t="shared" si="70"/>
        <v>13800</v>
      </c>
      <c r="L370" s="305">
        <f t="shared" si="71"/>
        <v>23400</v>
      </c>
      <c r="M370" s="318"/>
      <c r="N370" s="299"/>
      <c r="O370" s="299"/>
      <c r="P370" s="317"/>
      <c r="Q370" s="313"/>
      <c r="R370" s="313"/>
      <c r="S370" s="146"/>
      <c r="T370" s="146"/>
    </row>
    <row r="371" spans="1:20" s="145" customFormat="1" ht="15.6" x14ac:dyDescent="0.3">
      <c r="A371" s="304"/>
      <c r="B371" s="307" t="s">
        <v>8</v>
      </c>
      <c r="C371" s="278"/>
      <c r="D371" s="278"/>
      <c r="E371" s="278">
        <f>SUM(E372:E381)</f>
        <v>17</v>
      </c>
      <c r="F371" s="278">
        <f t="shared" ref="F371:L371" si="77">SUM(F372:F381)</f>
        <v>17</v>
      </c>
      <c r="G371" s="278">
        <f t="shared" si="77"/>
        <v>30</v>
      </c>
      <c r="H371" s="278">
        <f t="shared" si="77"/>
        <v>10</v>
      </c>
      <c r="I371" s="278">
        <f t="shared" si="77"/>
        <v>20</v>
      </c>
      <c r="J371" s="278">
        <f t="shared" si="77"/>
        <v>163200</v>
      </c>
      <c r="K371" s="278">
        <f t="shared" si="77"/>
        <v>234600</v>
      </c>
      <c r="L371" s="278">
        <f t="shared" si="77"/>
        <v>397800</v>
      </c>
      <c r="M371" s="281"/>
      <c r="N371" s="307"/>
      <c r="O371" s="307"/>
      <c r="P371" s="319"/>
      <c r="Q371" s="360">
        <f>SUM(Q372:Q381)</f>
        <v>7</v>
      </c>
      <c r="R371" s="360">
        <f>SUM(R372:R381)</f>
        <v>14</v>
      </c>
      <c r="S371" s="147"/>
      <c r="T371" s="147"/>
    </row>
    <row r="372" spans="1:20" s="145" customFormat="1" ht="15.6" x14ac:dyDescent="0.3">
      <c r="A372" s="304">
        <v>1</v>
      </c>
      <c r="B372" s="330" t="s">
        <v>420</v>
      </c>
      <c r="C372" s="693" t="s">
        <v>419</v>
      </c>
      <c r="D372" s="704" t="s">
        <v>109</v>
      </c>
      <c r="E372" s="304">
        <v>1</v>
      </c>
      <c r="F372" s="304">
        <v>1</v>
      </c>
      <c r="G372" s="304">
        <v>3</v>
      </c>
      <c r="H372" s="304">
        <v>1</v>
      </c>
      <c r="I372" s="385">
        <v>2</v>
      </c>
      <c r="J372" s="305">
        <f t="shared" si="69"/>
        <v>9600</v>
      </c>
      <c r="K372" s="305">
        <f t="shared" si="70"/>
        <v>13800</v>
      </c>
      <c r="L372" s="305">
        <f t="shared" si="71"/>
        <v>23400</v>
      </c>
      <c r="M372" s="314"/>
      <c r="N372" s="299"/>
      <c r="O372" s="299"/>
      <c r="P372" s="319"/>
      <c r="Q372" s="360"/>
      <c r="R372" s="360"/>
      <c r="S372" s="147"/>
      <c r="T372" s="147"/>
    </row>
    <row r="373" spans="1:20" s="145" customFormat="1" ht="15.6" x14ac:dyDescent="0.3">
      <c r="A373" s="304">
        <v>2</v>
      </c>
      <c r="B373" s="330" t="s">
        <v>421</v>
      </c>
      <c r="C373" s="704"/>
      <c r="D373" s="704"/>
      <c r="E373" s="304">
        <v>1</v>
      </c>
      <c r="F373" s="304">
        <v>1</v>
      </c>
      <c r="G373" s="304">
        <v>3</v>
      </c>
      <c r="H373" s="304">
        <v>1</v>
      </c>
      <c r="I373" s="385">
        <v>2</v>
      </c>
      <c r="J373" s="305">
        <f t="shared" si="69"/>
        <v>9600</v>
      </c>
      <c r="K373" s="305">
        <f t="shared" si="70"/>
        <v>13800</v>
      </c>
      <c r="L373" s="305">
        <f t="shared" si="71"/>
        <v>23400</v>
      </c>
      <c r="M373" s="314"/>
      <c r="N373" s="299"/>
      <c r="O373" s="299"/>
      <c r="P373" s="319"/>
      <c r="Q373" s="360"/>
      <c r="R373" s="360"/>
      <c r="S373" s="147"/>
      <c r="T373" s="147"/>
    </row>
    <row r="374" spans="1:20" s="145" customFormat="1" ht="15.75" customHeight="1" x14ac:dyDescent="0.3">
      <c r="A374" s="304">
        <v>3</v>
      </c>
      <c r="B374" s="330" t="s">
        <v>422</v>
      </c>
      <c r="C374" s="704"/>
      <c r="D374" s="704"/>
      <c r="E374" s="303">
        <v>2</v>
      </c>
      <c r="F374" s="303">
        <v>2</v>
      </c>
      <c r="G374" s="303">
        <v>3</v>
      </c>
      <c r="H374" s="304">
        <v>1</v>
      </c>
      <c r="I374" s="385">
        <v>2</v>
      </c>
      <c r="J374" s="305">
        <f t="shared" si="69"/>
        <v>19200</v>
      </c>
      <c r="K374" s="305">
        <f t="shared" si="70"/>
        <v>27600</v>
      </c>
      <c r="L374" s="305">
        <f t="shared" si="71"/>
        <v>46800</v>
      </c>
      <c r="M374" s="318"/>
      <c r="N374" s="299"/>
      <c r="O374" s="299"/>
      <c r="P374" s="319"/>
      <c r="Q374" s="313">
        <v>1</v>
      </c>
      <c r="R374" s="313">
        <v>2</v>
      </c>
      <c r="S374" s="147"/>
      <c r="T374" s="147"/>
    </row>
    <row r="375" spans="1:20" s="145" customFormat="1" ht="15.6" x14ac:dyDescent="0.3">
      <c r="A375" s="304">
        <v>4</v>
      </c>
      <c r="B375" s="330" t="s">
        <v>423</v>
      </c>
      <c r="C375" s="704"/>
      <c r="D375" s="704"/>
      <c r="E375" s="303">
        <v>2</v>
      </c>
      <c r="F375" s="303">
        <v>2</v>
      </c>
      <c r="G375" s="303">
        <v>3</v>
      </c>
      <c r="H375" s="304">
        <v>1</v>
      </c>
      <c r="I375" s="385">
        <v>2</v>
      </c>
      <c r="J375" s="305">
        <f t="shared" si="69"/>
        <v>19200</v>
      </c>
      <c r="K375" s="305">
        <f t="shared" si="70"/>
        <v>27600</v>
      </c>
      <c r="L375" s="305">
        <f t="shared" si="71"/>
        <v>46800</v>
      </c>
      <c r="M375" s="318"/>
      <c r="N375" s="299"/>
      <c r="O375" s="299"/>
      <c r="P375" s="319"/>
      <c r="Q375" s="313">
        <v>1</v>
      </c>
      <c r="R375" s="313">
        <v>2</v>
      </c>
      <c r="S375" s="147"/>
      <c r="T375" s="147"/>
    </row>
    <row r="376" spans="1:20" s="145" customFormat="1" ht="15.6" x14ac:dyDescent="0.3">
      <c r="A376" s="304">
        <v>5</v>
      </c>
      <c r="B376" s="330" t="s">
        <v>424</v>
      </c>
      <c r="C376" s="704"/>
      <c r="D376" s="704"/>
      <c r="E376" s="303">
        <v>2</v>
      </c>
      <c r="F376" s="303">
        <v>2</v>
      </c>
      <c r="G376" s="303">
        <v>3</v>
      </c>
      <c r="H376" s="304">
        <v>1</v>
      </c>
      <c r="I376" s="385">
        <v>2</v>
      </c>
      <c r="J376" s="305">
        <f t="shared" si="69"/>
        <v>19200</v>
      </c>
      <c r="K376" s="305">
        <f t="shared" si="70"/>
        <v>27600</v>
      </c>
      <c r="L376" s="305">
        <f t="shared" si="71"/>
        <v>46800</v>
      </c>
      <c r="M376" s="318"/>
      <c r="N376" s="299"/>
      <c r="O376" s="299"/>
      <c r="P376" s="319"/>
      <c r="Q376" s="313">
        <v>1</v>
      </c>
      <c r="R376" s="313">
        <v>2</v>
      </c>
      <c r="S376" s="147"/>
      <c r="T376" s="147"/>
    </row>
    <row r="377" spans="1:20" s="145" customFormat="1" ht="15.6" x14ac:dyDescent="0.3">
      <c r="A377" s="304">
        <v>6</v>
      </c>
      <c r="B377" s="330" t="s">
        <v>425</v>
      </c>
      <c r="C377" s="704"/>
      <c r="D377" s="704"/>
      <c r="E377" s="303">
        <v>2</v>
      </c>
      <c r="F377" s="303">
        <v>2</v>
      </c>
      <c r="G377" s="303">
        <v>3</v>
      </c>
      <c r="H377" s="304">
        <v>1</v>
      </c>
      <c r="I377" s="385">
        <v>2</v>
      </c>
      <c r="J377" s="305">
        <f t="shared" si="69"/>
        <v>19200</v>
      </c>
      <c r="K377" s="305">
        <f t="shared" si="70"/>
        <v>27600</v>
      </c>
      <c r="L377" s="305">
        <f t="shared" si="71"/>
        <v>46800</v>
      </c>
      <c r="M377" s="318"/>
      <c r="N377" s="299"/>
      <c r="O377" s="299"/>
      <c r="P377" s="319"/>
      <c r="Q377" s="313">
        <v>1</v>
      </c>
      <c r="R377" s="313">
        <v>2</v>
      </c>
      <c r="S377" s="147"/>
      <c r="T377" s="147"/>
    </row>
    <row r="378" spans="1:20" s="145" customFormat="1" ht="15.6" x14ac:dyDescent="0.3">
      <c r="A378" s="304">
        <v>7</v>
      </c>
      <c r="B378" s="330" t="s">
        <v>426</v>
      </c>
      <c r="C378" s="704"/>
      <c r="D378" s="704"/>
      <c r="E378" s="303">
        <v>2</v>
      </c>
      <c r="F378" s="303">
        <v>2</v>
      </c>
      <c r="G378" s="303">
        <v>3</v>
      </c>
      <c r="H378" s="304">
        <v>1</v>
      </c>
      <c r="I378" s="385">
        <v>2</v>
      </c>
      <c r="J378" s="305">
        <f t="shared" si="69"/>
        <v>19200</v>
      </c>
      <c r="K378" s="305">
        <f t="shared" si="70"/>
        <v>27600</v>
      </c>
      <c r="L378" s="305">
        <f t="shared" si="71"/>
        <v>46800</v>
      </c>
      <c r="M378" s="318"/>
      <c r="N378" s="299"/>
      <c r="O378" s="299"/>
      <c r="P378" s="319"/>
      <c r="Q378" s="313">
        <v>1</v>
      </c>
      <c r="R378" s="313">
        <v>2</v>
      </c>
      <c r="S378" s="147"/>
      <c r="T378" s="147"/>
    </row>
    <row r="379" spans="1:20" s="145" customFormat="1" ht="15.6" x14ac:dyDescent="0.3">
      <c r="A379" s="304">
        <v>8</v>
      </c>
      <c r="B379" s="330" t="s">
        <v>427</v>
      </c>
      <c r="C379" s="704"/>
      <c r="D379" s="704"/>
      <c r="E379" s="303">
        <v>2</v>
      </c>
      <c r="F379" s="303">
        <v>2</v>
      </c>
      <c r="G379" s="303">
        <v>3</v>
      </c>
      <c r="H379" s="304">
        <v>1</v>
      </c>
      <c r="I379" s="385">
        <v>2</v>
      </c>
      <c r="J379" s="305">
        <f t="shared" si="69"/>
        <v>19200</v>
      </c>
      <c r="K379" s="305">
        <f t="shared" si="70"/>
        <v>27600</v>
      </c>
      <c r="L379" s="305">
        <f t="shared" si="71"/>
        <v>46800</v>
      </c>
      <c r="M379" s="318"/>
      <c r="N379" s="299"/>
      <c r="O379" s="299"/>
      <c r="P379" s="319"/>
      <c r="Q379" s="313">
        <v>1</v>
      </c>
      <c r="R379" s="313">
        <v>2</v>
      </c>
      <c r="S379" s="147"/>
      <c r="T379" s="147"/>
    </row>
    <row r="380" spans="1:20" s="145" customFormat="1" ht="15.6" x14ac:dyDescent="0.3">
      <c r="A380" s="304">
        <v>9</v>
      </c>
      <c r="B380" s="330" t="s">
        <v>428</v>
      </c>
      <c r="C380" s="704"/>
      <c r="D380" s="704"/>
      <c r="E380" s="303">
        <v>2</v>
      </c>
      <c r="F380" s="303">
        <v>2</v>
      </c>
      <c r="G380" s="303">
        <v>3</v>
      </c>
      <c r="H380" s="304">
        <v>1</v>
      </c>
      <c r="I380" s="385">
        <v>2</v>
      </c>
      <c r="J380" s="305">
        <f t="shared" si="69"/>
        <v>19200</v>
      </c>
      <c r="K380" s="305">
        <f t="shared" si="70"/>
        <v>27600</v>
      </c>
      <c r="L380" s="305">
        <f t="shared" si="71"/>
        <v>46800</v>
      </c>
      <c r="M380" s="318"/>
      <c r="N380" s="299"/>
      <c r="O380" s="299"/>
      <c r="P380" s="319"/>
      <c r="Q380" s="313">
        <v>1</v>
      </c>
      <c r="R380" s="313">
        <v>2</v>
      </c>
      <c r="S380" s="147"/>
      <c r="T380" s="147"/>
    </row>
    <row r="381" spans="1:20" s="145" customFormat="1" ht="15.6" x14ac:dyDescent="0.3">
      <c r="A381" s="304">
        <v>10</v>
      </c>
      <c r="B381" s="330" t="s">
        <v>429</v>
      </c>
      <c r="C381" s="694"/>
      <c r="D381" s="694"/>
      <c r="E381" s="303">
        <v>1</v>
      </c>
      <c r="F381" s="303">
        <v>1</v>
      </c>
      <c r="G381" s="303">
        <v>3</v>
      </c>
      <c r="H381" s="304">
        <v>1</v>
      </c>
      <c r="I381" s="385">
        <v>2</v>
      </c>
      <c r="J381" s="305">
        <f t="shared" si="69"/>
        <v>9600</v>
      </c>
      <c r="K381" s="305">
        <f t="shared" si="70"/>
        <v>13800</v>
      </c>
      <c r="L381" s="305">
        <f t="shared" si="71"/>
        <v>23400</v>
      </c>
      <c r="M381" s="318"/>
      <c r="N381" s="299"/>
      <c r="O381" s="299"/>
      <c r="P381" s="319"/>
      <c r="Q381" s="360"/>
      <c r="R381" s="360"/>
      <c r="S381" s="147"/>
      <c r="T381" s="147"/>
    </row>
    <row r="382" spans="1:20" s="145" customFormat="1" ht="15.6" x14ac:dyDescent="0.3">
      <c r="A382" s="304"/>
      <c r="B382" s="307" t="s">
        <v>9</v>
      </c>
      <c r="C382" s="278"/>
      <c r="D382" s="278"/>
      <c r="E382" s="278">
        <f>SUM(E383:E392)</f>
        <v>17</v>
      </c>
      <c r="F382" s="278">
        <f t="shared" ref="F382:L382" si="78">SUM(F383:F392)</f>
        <v>17</v>
      </c>
      <c r="G382" s="278">
        <f t="shared" si="78"/>
        <v>30</v>
      </c>
      <c r="H382" s="278">
        <f t="shared" si="78"/>
        <v>10</v>
      </c>
      <c r="I382" s="278">
        <f t="shared" si="78"/>
        <v>20</v>
      </c>
      <c r="J382" s="278">
        <f t="shared" si="78"/>
        <v>163200</v>
      </c>
      <c r="K382" s="278">
        <f t="shared" si="78"/>
        <v>234600</v>
      </c>
      <c r="L382" s="278">
        <f t="shared" si="78"/>
        <v>397800</v>
      </c>
      <c r="M382" s="281"/>
      <c r="N382" s="307"/>
      <c r="O382" s="307"/>
      <c r="P382" s="319"/>
      <c r="Q382" s="360">
        <f>SUM(Q383:Q392)</f>
        <v>7</v>
      </c>
      <c r="R382" s="360">
        <f>SUM(R383:R392)</f>
        <v>14</v>
      </c>
      <c r="S382" s="147"/>
      <c r="T382" s="147"/>
    </row>
    <row r="383" spans="1:20" s="145" customFormat="1" ht="15.6" x14ac:dyDescent="0.3">
      <c r="A383" s="304">
        <v>1</v>
      </c>
      <c r="B383" s="330" t="s">
        <v>420</v>
      </c>
      <c r="C383" s="703" t="s">
        <v>419</v>
      </c>
      <c r="D383" s="703" t="s">
        <v>109</v>
      </c>
      <c r="E383" s="304">
        <v>1</v>
      </c>
      <c r="F383" s="304">
        <v>1</v>
      </c>
      <c r="G383" s="304">
        <v>3</v>
      </c>
      <c r="H383" s="304">
        <v>1</v>
      </c>
      <c r="I383" s="385">
        <v>2</v>
      </c>
      <c r="J383" s="305">
        <f t="shared" si="69"/>
        <v>9600</v>
      </c>
      <c r="K383" s="305">
        <f t="shared" si="70"/>
        <v>13800</v>
      </c>
      <c r="L383" s="305">
        <f t="shared" si="71"/>
        <v>23400</v>
      </c>
      <c r="M383" s="314"/>
      <c r="N383" s="299"/>
      <c r="O383" s="299"/>
      <c r="P383" s="319"/>
      <c r="Q383" s="360"/>
      <c r="R383" s="360"/>
      <c r="S383" s="147"/>
      <c r="T383" s="147"/>
    </row>
    <row r="384" spans="1:20" s="145" customFormat="1" ht="15.6" x14ac:dyDescent="0.3">
      <c r="A384" s="304">
        <v>2</v>
      </c>
      <c r="B384" s="330" t="s">
        <v>421</v>
      </c>
      <c r="C384" s="703"/>
      <c r="D384" s="703"/>
      <c r="E384" s="304">
        <v>1</v>
      </c>
      <c r="F384" s="304">
        <v>1</v>
      </c>
      <c r="G384" s="304">
        <v>3</v>
      </c>
      <c r="H384" s="304">
        <v>1</v>
      </c>
      <c r="I384" s="385">
        <v>2</v>
      </c>
      <c r="J384" s="305">
        <f t="shared" si="69"/>
        <v>9600</v>
      </c>
      <c r="K384" s="305">
        <f t="shared" si="70"/>
        <v>13800</v>
      </c>
      <c r="L384" s="305">
        <f t="shared" si="71"/>
        <v>23400</v>
      </c>
      <c r="M384" s="314"/>
      <c r="N384" s="299"/>
      <c r="O384" s="299"/>
      <c r="P384" s="319"/>
      <c r="Q384" s="360"/>
      <c r="R384" s="360"/>
      <c r="S384" s="147"/>
      <c r="T384" s="147"/>
    </row>
    <row r="385" spans="1:20" s="145" customFormat="1" ht="15.75" customHeight="1" x14ac:dyDescent="0.3">
      <c r="A385" s="304">
        <v>3</v>
      </c>
      <c r="B385" s="330" t="s">
        <v>422</v>
      </c>
      <c r="C385" s="703"/>
      <c r="D385" s="703"/>
      <c r="E385" s="304">
        <v>2</v>
      </c>
      <c r="F385" s="304">
        <v>2</v>
      </c>
      <c r="G385" s="304">
        <v>3</v>
      </c>
      <c r="H385" s="304">
        <v>1</v>
      </c>
      <c r="I385" s="385">
        <v>2</v>
      </c>
      <c r="J385" s="305">
        <f t="shared" si="69"/>
        <v>19200</v>
      </c>
      <c r="K385" s="305">
        <f t="shared" si="70"/>
        <v>27600</v>
      </c>
      <c r="L385" s="305">
        <f t="shared" si="71"/>
        <v>46800</v>
      </c>
      <c r="M385" s="314"/>
      <c r="N385" s="299"/>
      <c r="O385" s="299"/>
      <c r="P385" s="319"/>
      <c r="Q385" s="313">
        <v>1</v>
      </c>
      <c r="R385" s="313">
        <v>2</v>
      </c>
      <c r="S385" s="147"/>
      <c r="T385" s="147"/>
    </row>
    <row r="386" spans="1:20" s="145" customFormat="1" ht="15.6" x14ac:dyDescent="0.3">
      <c r="A386" s="304">
        <v>4</v>
      </c>
      <c r="B386" s="330" t="s">
        <v>423</v>
      </c>
      <c r="C386" s="703"/>
      <c r="D386" s="703"/>
      <c r="E386" s="304">
        <v>2</v>
      </c>
      <c r="F386" s="304">
        <v>2</v>
      </c>
      <c r="G386" s="304">
        <v>3</v>
      </c>
      <c r="H386" s="304">
        <v>1</v>
      </c>
      <c r="I386" s="385">
        <v>2</v>
      </c>
      <c r="J386" s="305">
        <f t="shared" si="69"/>
        <v>19200</v>
      </c>
      <c r="K386" s="305">
        <f t="shared" si="70"/>
        <v>27600</v>
      </c>
      <c r="L386" s="305">
        <f t="shared" si="71"/>
        <v>46800</v>
      </c>
      <c r="M386" s="314"/>
      <c r="N386" s="299"/>
      <c r="O386" s="299"/>
      <c r="P386" s="319"/>
      <c r="Q386" s="313">
        <v>1</v>
      </c>
      <c r="R386" s="313">
        <v>2</v>
      </c>
      <c r="S386" s="147"/>
      <c r="T386" s="147"/>
    </row>
    <row r="387" spans="1:20" s="145" customFormat="1" ht="15.6" x14ac:dyDescent="0.3">
      <c r="A387" s="304">
        <v>5</v>
      </c>
      <c r="B387" s="330" t="s">
        <v>424</v>
      </c>
      <c r="C387" s="703"/>
      <c r="D387" s="703"/>
      <c r="E387" s="304">
        <v>2</v>
      </c>
      <c r="F387" s="304">
        <v>2</v>
      </c>
      <c r="G387" s="304">
        <v>3</v>
      </c>
      <c r="H387" s="304">
        <v>1</v>
      </c>
      <c r="I387" s="385">
        <v>2</v>
      </c>
      <c r="J387" s="305">
        <f t="shared" si="69"/>
        <v>19200</v>
      </c>
      <c r="K387" s="305">
        <f t="shared" si="70"/>
        <v>27600</v>
      </c>
      <c r="L387" s="305">
        <f t="shared" si="71"/>
        <v>46800</v>
      </c>
      <c r="M387" s="314"/>
      <c r="N387" s="299"/>
      <c r="O387" s="299"/>
      <c r="P387" s="319"/>
      <c r="Q387" s="313">
        <v>1</v>
      </c>
      <c r="R387" s="313">
        <v>2</v>
      </c>
      <c r="S387" s="147"/>
      <c r="T387" s="147"/>
    </row>
    <row r="388" spans="1:20" s="145" customFormat="1" ht="15.6" x14ac:dyDescent="0.3">
      <c r="A388" s="304">
        <v>6</v>
      </c>
      <c r="B388" s="330" t="s">
        <v>425</v>
      </c>
      <c r="C388" s="703"/>
      <c r="D388" s="703"/>
      <c r="E388" s="304">
        <v>2</v>
      </c>
      <c r="F388" s="304">
        <v>2</v>
      </c>
      <c r="G388" s="304">
        <v>3</v>
      </c>
      <c r="H388" s="304">
        <v>1</v>
      </c>
      <c r="I388" s="385">
        <v>2</v>
      </c>
      <c r="J388" s="305">
        <f t="shared" si="69"/>
        <v>19200</v>
      </c>
      <c r="K388" s="305">
        <f t="shared" si="70"/>
        <v>27600</v>
      </c>
      <c r="L388" s="305">
        <f t="shared" si="71"/>
        <v>46800</v>
      </c>
      <c r="M388" s="314"/>
      <c r="N388" s="299"/>
      <c r="O388" s="299"/>
      <c r="P388" s="319"/>
      <c r="Q388" s="313">
        <v>1</v>
      </c>
      <c r="R388" s="313">
        <v>2</v>
      </c>
      <c r="S388" s="147"/>
      <c r="T388" s="147"/>
    </row>
    <row r="389" spans="1:20" s="145" customFormat="1" ht="15.6" x14ac:dyDescent="0.3">
      <c r="A389" s="304">
        <v>7</v>
      </c>
      <c r="B389" s="330" t="s">
        <v>426</v>
      </c>
      <c r="C389" s="703"/>
      <c r="D389" s="703"/>
      <c r="E389" s="304">
        <v>2</v>
      </c>
      <c r="F389" s="304">
        <v>2</v>
      </c>
      <c r="G389" s="304">
        <v>3</v>
      </c>
      <c r="H389" s="304">
        <v>1</v>
      </c>
      <c r="I389" s="385">
        <v>2</v>
      </c>
      <c r="J389" s="305">
        <f t="shared" si="69"/>
        <v>19200</v>
      </c>
      <c r="K389" s="305">
        <f t="shared" si="70"/>
        <v>27600</v>
      </c>
      <c r="L389" s="305">
        <f t="shared" si="71"/>
        <v>46800</v>
      </c>
      <c r="M389" s="314"/>
      <c r="N389" s="299"/>
      <c r="O389" s="299"/>
      <c r="P389" s="319"/>
      <c r="Q389" s="313">
        <v>1</v>
      </c>
      <c r="R389" s="313">
        <v>2</v>
      </c>
      <c r="S389" s="147"/>
      <c r="T389" s="147"/>
    </row>
    <row r="390" spans="1:20" s="139" customFormat="1" ht="15.6" x14ac:dyDescent="0.3">
      <c r="A390" s="304">
        <v>8</v>
      </c>
      <c r="B390" s="330" t="s">
        <v>427</v>
      </c>
      <c r="C390" s="703"/>
      <c r="D390" s="703"/>
      <c r="E390" s="304">
        <v>2</v>
      </c>
      <c r="F390" s="304">
        <v>2</v>
      </c>
      <c r="G390" s="304">
        <v>3</v>
      </c>
      <c r="H390" s="304">
        <v>1</v>
      </c>
      <c r="I390" s="385">
        <v>2</v>
      </c>
      <c r="J390" s="305">
        <f t="shared" si="69"/>
        <v>19200</v>
      </c>
      <c r="K390" s="305">
        <f t="shared" si="70"/>
        <v>27600</v>
      </c>
      <c r="L390" s="305">
        <f t="shared" si="71"/>
        <v>46800</v>
      </c>
      <c r="M390" s="314"/>
      <c r="N390" s="299"/>
      <c r="O390" s="299"/>
      <c r="P390" s="317"/>
      <c r="Q390" s="313">
        <v>1</v>
      </c>
      <c r="R390" s="313">
        <v>2</v>
      </c>
      <c r="S390" s="146"/>
      <c r="T390" s="146"/>
    </row>
    <row r="391" spans="1:20" s="139" customFormat="1" ht="15.6" x14ac:dyDescent="0.3">
      <c r="A391" s="304">
        <v>9</v>
      </c>
      <c r="B391" s="330" t="s">
        <v>428</v>
      </c>
      <c r="C391" s="703"/>
      <c r="D391" s="703"/>
      <c r="E391" s="304">
        <v>2</v>
      </c>
      <c r="F391" s="304">
        <v>2</v>
      </c>
      <c r="G391" s="304">
        <v>3</v>
      </c>
      <c r="H391" s="304">
        <v>1</v>
      </c>
      <c r="I391" s="385">
        <v>2</v>
      </c>
      <c r="J391" s="305">
        <f t="shared" ref="J391:J392" si="79">E391*I391*4800</f>
        <v>19200</v>
      </c>
      <c r="K391" s="305">
        <f t="shared" ref="K391:K392" si="80">F391*H391*4800+F391*9000</f>
        <v>27600</v>
      </c>
      <c r="L391" s="305">
        <f t="shared" ref="L391:L392" si="81">J391+K391</f>
        <v>46800</v>
      </c>
      <c r="M391" s="314"/>
      <c r="N391" s="299"/>
      <c r="O391" s="299"/>
      <c r="P391" s="317"/>
      <c r="Q391" s="313">
        <v>1</v>
      </c>
      <c r="R391" s="313">
        <v>2</v>
      </c>
      <c r="S391" s="146"/>
      <c r="T391" s="146"/>
    </row>
    <row r="392" spans="1:20" s="139" customFormat="1" ht="15.6" x14ac:dyDescent="0.3">
      <c r="A392" s="304">
        <v>10</v>
      </c>
      <c r="B392" s="330" t="s">
        <v>429</v>
      </c>
      <c r="C392" s="703"/>
      <c r="D392" s="703"/>
      <c r="E392" s="304">
        <v>1</v>
      </c>
      <c r="F392" s="304">
        <v>1</v>
      </c>
      <c r="G392" s="304">
        <v>3</v>
      </c>
      <c r="H392" s="304">
        <v>1</v>
      </c>
      <c r="I392" s="385">
        <v>2</v>
      </c>
      <c r="J392" s="305">
        <f t="shared" si="79"/>
        <v>9600</v>
      </c>
      <c r="K392" s="305">
        <f t="shared" si="80"/>
        <v>13800</v>
      </c>
      <c r="L392" s="305">
        <f t="shared" si="81"/>
        <v>23400</v>
      </c>
      <c r="M392" s="314"/>
      <c r="N392" s="299"/>
      <c r="O392" s="299"/>
      <c r="P392" s="317"/>
      <c r="Q392" s="313"/>
      <c r="R392" s="313"/>
      <c r="S392" s="146"/>
      <c r="T392" s="146"/>
    </row>
    <row r="393" spans="1:20" s="134" customFormat="1" ht="13.8" x14ac:dyDescent="0.25">
      <c r="A393" s="283">
        <v>9</v>
      </c>
      <c r="B393" s="283" t="s">
        <v>100</v>
      </c>
      <c r="C393" s="288"/>
      <c r="D393" s="288"/>
      <c r="E393" s="283"/>
      <c r="F393" s="283"/>
      <c r="G393" s="283"/>
      <c r="H393" s="283"/>
      <c r="I393" s="283"/>
      <c r="J393" s="289"/>
      <c r="K393" s="289"/>
      <c r="L393" s="283"/>
      <c r="M393" s="315"/>
      <c r="N393" s="278"/>
      <c r="O393" s="278"/>
      <c r="P393" s="316"/>
      <c r="Q393" s="358"/>
      <c r="R393" s="358"/>
      <c r="S393" s="133"/>
      <c r="T393" s="133"/>
    </row>
    <row r="394" spans="1:20" s="139" customFormat="1" ht="26.4" x14ac:dyDescent="0.3">
      <c r="A394" s="283" t="s">
        <v>168</v>
      </c>
      <c r="B394" s="296" t="s">
        <v>169</v>
      </c>
      <c r="C394" s="275"/>
      <c r="D394" s="275"/>
      <c r="E394" s="278"/>
      <c r="F394" s="278"/>
      <c r="G394" s="278"/>
      <c r="H394" s="278"/>
      <c r="I394" s="278"/>
      <c r="J394" s="297"/>
      <c r="K394" s="298"/>
      <c r="L394" s="298"/>
      <c r="M394" s="314"/>
      <c r="N394" s="299"/>
      <c r="O394" s="299"/>
      <c r="P394" s="317"/>
      <c r="Q394" s="313"/>
      <c r="R394" s="313"/>
      <c r="S394" s="146"/>
      <c r="T394" s="146"/>
    </row>
    <row r="395" spans="1:20" s="139" customFormat="1" ht="15.6" x14ac:dyDescent="0.3">
      <c r="A395" s="283"/>
      <c r="B395" s="296" t="s">
        <v>4</v>
      </c>
      <c r="C395" s="275"/>
      <c r="D395" s="275"/>
      <c r="E395" s="278">
        <f>SUM(E396:E409)</f>
        <v>14</v>
      </c>
      <c r="F395" s="278">
        <f t="shared" ref="F395:L395" si="82">SUM(F396:F409)</f>
        <v>15</v>
      </c>
      <c r="G395" s="278">
        <f t="shared" si="82"/>
        <v>20</v>
      </c>
      <c r="H395" s="278">
        <f t="shared" si="82"/>
        <v>14</v>
      </c>
      <c r="I395" s="278">
        <f t="shared" si="82"/>
        <v>6</v>
      </c>
      <c r="J395" s="278">
        <f t="shared" si="82"/>
        <v>28800</v>
      </c>
      <c r="K395" s="278">
        <f t="shared" si="82"/>
        <v>207000</v>
      </c>
      <c r="L395" s="278">
        <f t="shared" si="82"/>
        <v>235800</v>
      </c>
      <c r="M395" s="314"/>
      <c r="N395" s="299"/>
      <c r="O395" s="299"/>
      <c r="P395" s="317"/>
      <c r="Q395" s="313"/>
      <c r="R395" s="313"/>
      <c r="S395" s="146"/>
      <c r="T395" s="146"/>
    </row>
    <row r="396" spans="1:20" s="139" customFormat="1" ht="39.6" x14ac:dyDescent="0.3">
      <c r="A396" s="309">
        <v>1</v>
      </c>
      <c r="B396" s="346" t="s">
        <v>430</v>
      </c>
      <c r="C396" s="363" t="s">
        <v>431</v>
      </c>
      <c r="D396" s="304" t="s">
        <v>100</v>
      </c>
      <c r="E396" s="304">
        <v>1</v>
      </c>
      <c r="F396" s="304">
        <v>1</v>
      </c>
      <c r="G396" s="304">
        <v>3</v>
      </c>
      <c r="H396" s="304">
        <v>1</v>
      </c>
      <c r="I396" s="385">
        <v>2</v>
      </c>
      <c r="J396" s="305">
        <f t="shared" ref="J396:J459" si="83">E396*I396*4800</f>
        <v>9600</v>
      </c>
      <c r="K396" s="305">
        <f t="shared" ref="K396:K459" si="84">F396*H396*4800+F396*9000</f>
        <v>13800</v>
      </c>
      <c r="L396" s="305">
        <f t="shared" ref="L396:L459" si="85">J396+K396</f>
        <v>23400</v>
      </c>
      <c r="M396" s="314"/>
      <c r="N396" s="299"/>
      <c r="O396" s="299"/>
      <c r="P396" s="317"/>
      <c r="Q396" s="313"/>
      <c r="R396" s="313"/>
      <c r="S396" s="146"/>
      <c r="T396" s="146"/>
    </row>
    <row r="397" spans="1:20" s="139" customFormat="1" ht="39.6" x14ac:dyDescent="0.3">
      <c r="A397" s="304">
        <v>2</v>
      </c>
      <c r="B397" s="346" t="s">
        <v>432</v>
      </c>
      <c r="C397" s="363" t="s">
        <v>431</v>
      </c>
      <c r="D397" s="304" t="s">
        <v>100</v>
      </c>
      <c r="E397" s="304">
        <v>1</v>
      </c>
      <c r="F397" s="304">
        <v>1</v>
      </c>
      <c r="G397" s="304">
        <v>1</v>
      </c>
      <c r="H397" s="304">
        <v>1</v>
      </c>
      <c r="I397" s="385"/>
      <c r="J397" s="305">
        <f t="shared" si="83"/>
        <v>0</v>
      </c>
      <c r="K397" s="305">
        <f t="shared" si="84"/>
        <v>13800</v>
      </c>
      <c r="L397" s="305">
        <f t="shared" si="85"/>
        <v>13800</v>
      </c>
      <c r="M397" s="314"/>
      <c r="N397" s="299"/>
      <c r="O397" s="299"/>
      <c r="P397" s="317"/>
      <c r="Q397" s="313"/>
      <c r="R397" s="313"/>
      <c r="S397" s="146"/>
      <c r="T397" s="146"/>
    </row>
    <row r="398" spans="1:20" s="139" customFormat="1" ht="39.6" x14ac:dyDescent="0.3">
      <c r="A398" s="304">
        <v>3</v>
      </c>
      <c r="B398" s="346" t="s">
        <v>433</v>
      </c>
      <c r="C398" s="363" t="s">
        <v>431</v>
      </c>
      <c r="D398" s="304" t="s">
        <v>100</v>
      </c>
      <c r="E398" s="303">
        <v>1</v>
      </c>
      <c r="F398" s="303">
        <v>1</v>
      </c>
      <c r="G398" s="303">
        <v>1</v>
      </c>
      <c r="H398" s="304">
        <v>1</v>
      </c>
      <c r="I398" s="376"/>
      <c r="J398" s="305">
        <f t="shared" si="83"/>
        <v>0</v>
      </c>
      <c r="K398" s="305">
        <f t="shared" si="84"/>
        <v>13800</v>
      </c>
      <c r="L398" s="305">
        <f t="shared" si="85"/>
        <v>13800</v>
      </c>
      <c r="M398" s="318"/>
      <c r="N398" s="299"/>
      <c r="O398" s="299"/>
      <c r="P398" s="317"/>
      <c r="Q398" s="313"/>
      <c r="R398" s="313"/>
      <c r="S398" s="146"/>
      <c r="T398" s="146"/>
    </row>
    <row r="399" spans="1:20" s="139" customFormat="1" ht="26.4" x14ac:dyDescent="0.3">
      <c r="A399" s="304">
        <v>4</v>
      </c>
      <c r="B399" s="393" t="s">
        <v>292</v>
      </c>
      <c r="C399" s="364" t="s">
        <v>100</v>
      </c>
      <c r="D399" s="303" t="s">
        <v>281</v>
      </c>
      <c r="E399" s="303">
        <v>1</v>
      </c>
      <c r="F399" s="303">
        <v>2</v>
      </c>
      <c r="G399" s="303">
        <v>3</v>
      </c>
      <c r="H399" s="304">
        <v>1</v>
      </c>
      <c r="I399" s="385">
        <v>2</v>
      </c>
      <c r="J399" s="305">
        <f t="shared" si="83"/>
        <v>9600</v>
      </c>
      <c r="K399" s="305">
        <f t="shared" si="84"/>
        <v>27600</v>
      </c>
      <c r="L399" s="305">
        <f t="shared" si="85"/>
        <v>37200</v>
      </c>
      <c r="M399" s="318"/>
      <c r="N399" s="299"/>
      <c r="O399" s="299"/>
      <c r="P399" s="317"/>
      <c r="Q399" s="313">
        <v>1</v>
      </c>
      <c r="R399" s="313"/>
      <c r="S399" s="146"/>
      <c r="T399" s="146"/>
    </row>
    <row r="400" spans="1:20" s="139" customFormat="1" ht="26.4" x14ac:dyDescent="0.3">
      <c r="A400" s="304">
        <v>5</v>
      </c>
      <c r="B400" s="393" t="s">
        <v>434</v>
      </c>
      <c r="C400" s="364" t="s">
        <v>100</v>
      </c>
      <c r="D400" s="303" t="s">
        <v>281</v>
      </c>
      <c r="E400" s="303">
        <v>1</v>
      </c>
      <c r="F400" s="303">
        <v>1</v>
      </c>
      <c r="G400" s="303">
        <v>3</v>
      </c>
      <c r="H400" s="304">
        <v>1</v>
      </c>
      <c r="I400" s="385">
        <v>2</v>
      </c>
      <c r="J400" s="305">
        <f t="shared" si="83"/>
        <v>9600</v>
      </c>
      <c r="K400" s="305">
        <f t="shared" si="84"/>
        <v>13800</v>
      </c>
      <c r="L400" s="305">
        <f t="shared" si="85"/>
        <v>23400</v>
      </c>
      <c r="M400" s="318"/>
      <c r="N400" s="299"/>
      <c r="O400" s="299"/>
      <c r="P400" s="317"/>
      <c r="Q400" s="313"/>
      <c r="R400" s="313"/>
      <c r="S400" s="146"/>
      <c r="T400" s="146"/>
    </row>
    <row r="401" spans="1:20" s="139" customFormat="1" ht="26.4" x14ac:dyDescent="0.3">
      <c r="A401" s="304">
        <v>6</v>
      </c>
      <c r="B401" s="299" t="s">
        <v>435</v>
      </c>
      <c r="C401" s="364" t="s">
        <v>100</v>
      </c>
      <c r="D401" s="303" t="s">
        <v>436</v>
      </c>
      <c r="E401" s="303">
        <v>1</v>
      </c>
      <c r="F401" s="303">
        <v>1</v>
      </c>
      <c r="G401" s="303">
        <v>1</v>
      </c>
      <c r="H401" s="304">
        <v>1</v>
      </c>
      <c r="I401" s="376"/>
      <c r="J401" s="305">
        <f t="shared" si="83"/>
        <v>0</v>
      </c>
      <c r="K401" s="305">
        <f t="shared" si="84"/>
        <v>13800</v>
      </c>
      <c r="L401" s="305">
        <f t="shared" si="85"/>
        <v>13800</v>
      </c>
      <c r="M401" s="318"/>
      <c r="N401" s="299"/>
      <c r="O401" s="299"/>
      <c r="P401" s="317"/>
      <c r="Q401" s="313"/>
      <c r="R401" s="313"/>
      <c r="S401" s="146"/>
      <c r="T401" s="146"/>
    </row>
    <row r="402" spans="1:20" s="139" customFormat="1" ht="26.4" x14ac:dyDescent="0.3">
      <c r="A402" s="304">
        <v>7</v>
      </c>
      <c r="B402" s="299" t="s">
        <v>437</v>
      </c>
      <c r="C402" s="364" t="s">
        <v>100</v>
      </c>
      <c r="D402" s="303" t="s">
        <v>436</v>
      </c>
      <c r="E402" s="303">
        <v>1</v>
      </c>
      <c r="F402" s="303">
        <v>1</v>
      </c>
      <c r="G402" s="303">
        <v>1</v>
      </c>
      <c r="H402" s="304">
        <v>1</v>
      </c>
      <c r="I402" s="376"/>
      <c r="J402" s="305">
        <f t="shared" si="83"/>
        <v>0</v>
      </c>
      <c r="K402" s="305">
        <f t="shared" si="84"/>
        <v>13800</v>
      </c>
      <c r="L402" s="305">
        <f t="shared" si="85"/>
        <v>13800</v>
      </c>
      <c r="M402" s="318"/>
      <c r="N402" s="299"/>
      <c r="O402" s="299"/>
      <c r="P402" s="317"/>
      <c r="Q402" s="313"/>
      <c r="R402" s="313"/>
      <c r="S402" s="146"/>
      <c r="T402" s="146"/>
    </row>
    <row r="403" spans="1:20" s="139" customFormat="1" ht="26.4" x14ac:dyDescent="0.3">
      <c r="A403" s="304">
        <v>8</v>
      </c>
      <c r="B403" s="299" t="s">
        <v>438</v>
      </c>
      <c r="C403" s="364" t="s">
        <v>100</v>
      </c>
      <c r="D403" s="303" t="s">
        <v>436</v>
      </c>
      <c r="E403" s="303">
        <v>1</v>
      </c>
      <c r="F403" s="303">
        <v>1</v>
      </c>
      <c r="G403" s="303">
        <v>1</v>
      </c>
      <c r="H403" s="304">
        <v>1</v>
      </c>
      <c r="I403" s="376"/>
      <c r="J403" s="305">
        <f t="shared" si="83"/>
        <v>0</v>
      </c>
      <c r="K403" s="305">
        <f t="shared" si="84"/>
        <v>13800</v>
      </c>
      <c r="L403" s="305">
        <f t="shared" si="85"/>
        <v>13800</v>
      </c>
      <c r="M403" s="318"/>
      <c r="N403" s="299"/>
      <c r="O403" s="299"/>
      <c r="P403" s="317"/>
      <c r="Q403" s="313"/>
      <c r="R403" s="313"/>
      <c r="S403" s="146"/>
      <c r="T403" s="146"/>
    </row>
    <row r="404" spans="1:20" s="139" customFormat="1" ht="39.6" x14ac:dyDescent="0.3">
      <c r="A404" s="304">
        <v>9</v>
      </c>
      <c r="B404" s="299" t="s">
        <v>439</v>
      </c>
      <c r="C404" s="364" t="s">
        <v>100</v>
      </c>
      <c r="D404" s="303" t="s">
        <v>436</v>
      </c>
      <c r="E404" s="303">
        <v>1</v>
      </c>
      <c r="F404" s="303">
        <v>1</v>
      </c>
      <c r="G404" s="303">
        <v>1</v>
      </c>
      <c r="H404" s="304">
        <v>1</v>
      </c>
      <c r="I404" s="376"/>
      <c r="J404" s="305">
        <f t="shared" si="83"/>
        <v>0</v>
      </c>
      <c r="K404" s="305">
        <f t="shared" si="84"/>
        <v>13800</v>
      </c>
      <c r="L404" s="305">
        <f t="shared" si="85"/>
        <v>13800</v>
      </c>
      <c r="M404" s="318"/>
      <c r="N404" s="299"/>
      <c r="O404" s="299"/>
      <c r="P404" s="317"/>
      <c r="Q404" s="313"/>
      <c r="R404" s="313"/>
      <c r="S404" s="146"/>
      <c r="T404" s="146"/>
    </row>
    <row r="405" spans="1:20" s="139" customFormat="1" ht="26.4" x14ac:dyDescent="0.3">
      <c r="A405" s="304">
        <v>10</v>
      </c>
      <c r="B405" s="299" t="s">
        <v>440</v>
      </c>
      <c r="C405" s="364" t="s">
        <v>100</v>
      </c>
      <c r="D405" s="303" t="s">
        <v>436</v>
      </c>
      <c r="E405" s="303">
        <v>1</v>
      </c>
      <c r="F405" s="303">
        <v>1</v>
      </c>
      <c r="G405" s="303">
        <v>1</v>
      </c>
      <c r="H405" s="304">
        <v>1</v>
      </c>
      <c r="I405" s="376"/>
      <c r="J405" s="305">
        <f t="shared" si="83"/>
        <v>0</v>
      </c>
      <c r="K405" s="305">
        <f t="shared" si="84"/>
        <v>13800</v>
      </c>
      <c r="L405" s="305">
        <f t="shared" si="85"/>
        <v>13800</v>
      </c>
      <c r="M405" s="318"/>
      <c r="N405" s="299"/>
      <c r="O405" s="299"/>
      <c r="P405" s="317"/>
      <c r="Q405" s="313"/>
      <c r="R405" s="313"/>
      <c r="S405" s="146"/>
      <c r="T405" s="146"/>
    </row>
    <row r="406" spans="1:20" s="139" customFormat="1" ht="39.6" x14ac:dyDescent="0.3">
      <c r="A406" s="304">
        <v>11</v>
      </c>
      <c r="B406" s="299" t="s">
        <v>441</v>
      </c>
      <c r="C406" s="364" t="s">
        <v>100</v>
      </c>
      <c r="D406" s="303" t="s">
        <v>436</v>
      </c>
      <c r="E406" s="303">
        <v>1</v>
      </c>
      <c r="F406" s="303">
        <v>1</v>
      </c>
      <c r="G406" s="303">
        <v>1</v>
      </c>
      <c r="H406" s="304">
        <v>1</v>
      </c>
      <c r="I406" s="376"/>
      <c r="J406" s="305">
        <f t="shared" si="83"/>
        <v>0</v>
      </c>
      <c r="K406" s="305">
        <f t="shared" si="84"/>
        <v>13800</v>
      </c>
      <c r="L406" s="305">
        <f t="shared" si="85"/>
        <v>13800</v>
      </c>
      <c r="M406" s="318"/>
      <c r="N406" s="299"/>
      <c r="O406" s="299"/>
      <c r="P406" s="317"/>
      <c r="Q406" s="313"/>
      <c r="R406" s="313"/>
      <c r="S406" s="146"/>
      <c r="T406" s="146"/>
    </row>
    <row r="407" spans="1:20" s="139" customFormat="1" ht="26.4" x14ac:dyDescent="0.3">
      <c r="A407" s="304">
        <v>12</v>
      </c>
      <c r="B407" s="299" t="s">
        <v>69</v>
      </c>
      <c r="C407" s="364" t="s">
        <v>100</v>
      </c>
      <c r="D407" s="303" t="s">
        <v>436</v>
      </c>
      <c r="E407" s="303">
        <v>1</v>
      </c>
      <c r="F407" s="303">
        <v>1</v>
      </c>
      <c r="G407" s="303">
        <v>1</v>
      </c>
      <c r="H407" s="304">
        <v>1</v>
      </c>
      <c r="I407" s="376"/>
      <c r="J407" s="305">
        <f t="shared" si="83"/>
        <v>0</v>
      </c>
      <c r="K407" s="305">
        <f t="shared" si="84"/>
        <v>13800</v>
      </c>
      <c r="L407" s="305">
        <f t="shared" si="85"/>
        <v>13800</v>
      </c>
      <c r="M407" s="318"/>
      <c r="N407" s="299"/>
      <c r="O407" s="299"/>
      <c r="P407" s="317"/>
      <c r="Q407" s="313"/>
      <c r="R407" s="313"/>
      <c r="S407" s="146"/>
      <c r="T407" s="146"/>
    </row>
    <row r="408" spans="1:20" s="139" customFormat="1" ht="26.4" x14ac:dyDescent="0.3">
      <c r="A408" s="304">
        <v>13</v>
      </c>
      <c r="B408" s="299" t="s">
        <v>442</v>
      </c>
      <c r="C408" s="364" t="s">
        <v>100</v>
      </c>
      <c r="D408" s="303" t="s">
        <v>436</v>
      </c>
      <c r="E408" s="303">
        <v>1</v>
      </c>
      <c r="F408" s="303">
        <v>1</v>
      </c>
      <c r="G408" s="303">
        <v>1</v>
      </c>
      <c r="H408" s="304">
        <v>1</v>
      </c>
      <c r="I408" s="376"/>
      <c r="J408" s="305">
        <f t="shared" si="83"/>
        <v>0</v>
      </c>
      <c r="K408" s="305">
        <f t="shared" si="84"/>
        <v>13800</v>
      </c>
      <c r="L408" s="305">
        <f t="shared" si="85"/>
        <v>13800</v>
      </c>
      <c r="M408" s="318"/>
      <c r="N408" s="299"/>
      <c r="O408" s="299"/>
      <c r="P408" s="317"/>
      <c r="Q408" s="313"/>
      <c r="R408" s="313"/>
      <c r="S408" s="146"/>
      <c r="T408" s="146"/>
    </row>
    <row r="409" spans="1:20" s="139" customFormat="1" ht="39.6" x14ac:dyDescent="0.3">
      <c r="A409" s="304">
        <v>14</v>
      </c>
      <c r="B409" s="299" t="s">
        <v>443</v>
      </c>
      <c r="C409" s="364" t="s">
        <v>100</v>
      </c>
      <c r="D409" s="303" t="s">
        <v>436</v>
      </c>
      <c r="E409" s="303">
        <v>1</v>
      </c>
      <c r="F409" s="303">
        <v>1</v>
      </c>
      <c r="G409" s="303">
        <v>1</v>
      </c>
      <c r="H409" s="304">
        <v>1</v>
      </c>
      <c r="I409" s="376"/>
      <c r="J409" s="305">
        <f t="shared" si="83"/>
        <v>0</v>
      </c>
      <c r="K409" s="305">
        <f t="shared" si="84"/>
        <v>13800</v>
      </c>
      <c r="L409" s="305">
        <f t="shared" si="85"/>
        <v>13800</v>
      </c>
      <c r="M409" s="318"/>
      <c r="N409" s="299"/>
      <c r="O409" s="299"/>
      <c r="P409" s="317"/>
      <c r="Q409" s="313"/>
      <c r="R409" s="313"/>
      <c r="S409" s="146"/>
      <c r="T409" s="146"/>
    </row>
    <row r="410" spans="1:20" s="145" customFormat="1" ht="15.6" x14ac:dyDescent="0.3">
      <c r="A410" s="278"/>
      <c r="B410" s="307" t="s">
        <v>173</v>
      </c>
      <c r="C410" s="278"/>
      <c r="D410" s="278"/>
      <c r="E410" s="278">
        <f>SUM(E411:E415)</f>
        <v>1</v>
      </c>
      <c r="F410" s="278">
        <f t="shared" ref="F410:L410" si="86">SUM(F411:F415)</f>
        <v>1</v>
      </c>
      <c r="G410" s="278">
        <f t="shared" si="86"/>
        <v>1</v>
      </c>
      <c r="H410" s="278">
        <f t="shared" si="86"/>
        <v>1</v>
      </c>
      <c r="I410" s="278">
        <f t="shared" si="86"/>
        <v>0</v>
      </c>
      <c r="J410" s="278">
        <f t="shared" si="86"/>
        <v>0</v>
      </c>
      <c r="K410" s="278">
        <f t="shared" si="86"/>
        <v>13800</v>
      </c>
      <c r="L410" s="278">
        <f t="shared" si="86"/>
        <v>13800</v>
      </c>
      <c r="M410" s="281"/>
      <c r="N410" s="307"/>
      <c r="O410" s="307"/>
      <c r="P410" s="319"/>
      <c r="Q410" s="360"/>
      <c r="R410" s="360"/>
      <c r="S410" s="147"/>
      <c r="T410" s="147"/>
    </row>
    <row r="411" spans="1:20" s="139" customFormat="1" ht="39.6" x14ac:dyDescent="0.3">
      <c r="A411" s="304">
        <v>1</v>
      </c>
      <c r="B411" s="299" t="s">
        <v>443</v>
      </c>
      <c r="C411" s="364" t="s">
        <v>100</v>
      </c>
      <c r="D411" s="303" t="s">
        <v>436</v>
      </c>
      <c r="E411" s="303">
        <v>1</v>
      </c>
      <c r="F411" s="303">
        <v>1</v>
      </c>
      <c r="G411" s="303">
        <v>1</v>
      </c>
      <c r="H411" s="304">
        <v>1</v>
      </c>
      <c r="I411" s="401"/>
      <c r="J411" s="305">
        <f t="shared" si="83"/>
        <v>0</v>
      </c>
      <c r="K411" s="305">
        <f t="shared" si="84"/>
        <v>13800</v>
      </c>
      <c r="L411" s="305">
        <f t="shared" si="85"/>
        <v>13800</v>
      </c>
      <c r="M411" s="314"/>
      <c r="N411" s="299"/>
      <c r="O411" s="299"/>
      <c r="P411" s="317"/>
      <c r="Q411" s="313"/>
      <c r="R411" s="313"/>
      <c r="S411" s="146"/>
      <c r="T411" s="146"/>
    </row>
    <row r="412" spans="1:20" s="139" customFormat="1" ht="39.6" x14ac:dyDescent="0.3">
      <c r="A412" s="304">
        <v>2</v>
      </c>
      <c r="B412" s="299" t="s">
        <v>444</v>
      </c>
      <c r="C412" s="364" t="s">
        <v>100</v>
      </c>
      <c r="D412" s="351" t="s">
        <v>281</v>
      </c>
      <c r="E412" s="304"/>
      <c r="F412" s="304"/>
      <c r="G412" s="304"/>
      <c r="H412" s="304"/>
      <c r="I412" s="401"/>
      <c r="J412" s="305">
        <f t="shared" si="83"/>
        <v>0</v>
      </c>
      <c r="K412" s="305">
        <f t="shared" si="84"/>
        <v>0</v>
      </c>
      <c r="L412" s="305">
        <f t="shared" si="85"/>
        <v>0</v>
      </c>
      <c r="M412" s="314" t="s">
        <v>445</v>
      </c>
      <c r="N412" s="299"/>
      <c r="O412" s="299"/>
      <c r="P412" s="317"/>
      <c r="Q412" s="313"/>
      <c r="R412" s="313"/>
      <c r="S412" s="146"/>
      <c r="T412" s="146"/>
    </row>
    <row r="413" spans="1:20" s="139" customFormat="1" ht="39.6" x14ac:dyDescent="0.3">
      <c r="A413" s="304">
        <v>3</v>
      </c>
      <c r="B413" s="393" t="s">
        <v>446</v>
      </c>
      <c r="C413" s="364" t="s">
        <v>100</v>
      </c>
      <c r="D413" s="351" t="s">
        <v>281</v>
      </c>
      <c r="E413" s="304"/>
      <c r="F413" s="304"/>
      <c r="G413" s="304"/>
      <c r="H413" s="304"/>
      <c r="I413" s="401"/>
      <c r="J413" s="305">
        <f t="shared" si="83"/>
        <v>0</v>
      </c>
      <c r="K413" s="305">
        <f t="shared" si="84"/>
        <v>0</v>
      </c>
      <c r="L413" s="305">
        <f t="shared" si="85"/>
        <v>0</v>
      </c>
      <c r="M413" s="314"/>
      <c r="N413" s="299"/>
      <c r="O413" s="299"/>
      <c r="P413" s="317"/>
      <c r="Q413" s="313"/>
      <c r="R413" s="313"/>
      <c r="S413" s="146"/>
      <c r="T413" s="146"/>
    </row>
    <row r="414" spans="1:20" s="139" customFormat="1" ht="52.8" x14ac:dyDescent="0.3">
      <c r="A414" s="304">
        <v>4</v>
      </c>
      <c r="B414" s="402" t="s">
        <v>447</v>
      </c>
      <c r="C414" s="364" t="s">
        <v>100</v>
      </c>
      <c r="D414" s="351" t="s">
        <v>281</v>
      </c>
      <c r="E414" s="304"/>
      <c r="F414" s="304"/>
      <c r="G414" s="304"/>
      <c r="H414" s="304"/>
      <c r="I414" s="401"/>
      <c r="J414" s="305">
        <f t="shared" si="83"/>
        <v>0</v>
      </c>
      <c r="K414" s="305">
        <f t="shared" si="84"/>
        <v>0</v>
      </c>
      <c r="L414" s="305">
        <f t="shared" si="85"/>
        <v>0</v>
      </c>
      <c r="M414" s="314"/>
      <c r="N414" s="299"/>
      <c r="O414" s="299"/>
      <c r="P414" s="317"/>
      <c r="Q414" s="313"/>
      <c r="R414" s="313"/>
      <c r="S414" s="146"/>
      <c r="T414" s="146"/>
    </row>
    <row r="415" spans="1:20" s="139" customFormat="1" ht="79.2" x14ac:dyDescent="0.3">
      <c r="A415" s="304">
        <v>5</v>
      </c>
      <c r="B415" s="402" t="s">
        <v>448</v>
      </c>
      <c r="C415" s="364" t="s">
        <v>100</v>
      </c>
      <c r="D415" s="351" t="s">
        <v>281</v>
      </c>
      <c r="E415" s="304"/>
      <c r="F415" s="304"/>
      <c r="G415" s="304"/>
      <c r="H415" s="304"/>
      <c r="I415" s="401"/>
      <c r="J415" s="305">
        <f t="shared" si="83"/>
        <v>0</v>
      </c>
      <c r="K415" s="305">
        <f t="shared" si="84"/>
        <v>0</v>
      </c>
      <c r="L415" s="305">
        <f t="shared" si="85"/>
        <v>0</v>
      </c>
      <c r="M415" s="314"/>
      <c r="N415" s="299"/>
      <c r="O415" s="299"/>
      <c r="P415" s="317"/>
      <c r="Q415" s="313"/>
      <c r="R415" s="313"/>
      <c r="S415" s="146"/>
      <c r="T415" s="146"/>
    </row>
    <row r="416" spans="1:20" s="145" customFormat="1" ht="15.6" x14ac:dyDescent="0.3">
      <c r="A416" s="278"/>
      <c r="B416" s="307" t="s">
        <v>175</v>
      </c>
      <c r="C416" s="278"/>
      <c r="D416" s="278"/>
      <c r="E416" s="278">
        <f>SUM(E417:E422)</f>
        <v>4</v>
      </c>
      <c r="F416" s="278">
        <f t="shared" ref="F416:L416" si="87">SUM(F417:F422)</f>
        <v>12</v>
      </c>
      <c r="G416" s="278">
        <f t="shared" si="87"/>
        <v>12</v>
      </c>
      <c r="H416" s="278">
        <f t="shared" si="87"/>
        <v>12</v>
      </c>
      <c r="I416" s="278">
        <f t="shared" si="87"/>
        <v>0</v>
      </c>
      <c r="J416" s="278">
        <f t="shared" si="87"/>
        <v>0</v>
      </c>
      <c r="K416" s="278">
        <f t="shared" si="87"/>
        <v>453600</v>
      </c>
      <c r="L416" s="278">
        <f t="shared" si="87"/>
        <v>453600</v>
      </c>
      <c r="M416" s="281"/>
      <c r="N416" s="307"/>
      <c r="O416" s="307"/>
      <c r="P416" s="319"/>
      <c r="Q416" s="360">
        <v>60</v>
      </c>
      <c r="R416" s="360"/>
      <c r="S416" s="147"/>
      <c r="T416" s="147"/>
    </row>
    <row r="417" spans="1:20" s="139" customFormat="1" ht="52.8" x14ac:dyDescent="0.3">
      <c r="A417" s="304">
        <v>1</v>
      </c>
      <c r="B417" s="299" t="s">
        <v>449</v>
      </c>
      <c r="C417" s="364" t="s">
        <v>100</v>
      </c>
      <c r="D417" s="389" t="s">
        <v>281</v>
      </c>
      <c r="E417" s="304"/>
      <c r="F417" s="304"/>
      <c r="G417" s="304"/>
      <c r="H417" s="304"/>
      <c r="I417" s="401"/>
      <c r="J417" s="305">
        <f t="shared" si="83"/>
        <v>0</v>
      </c>
      <c r="K417" s="305">
        <f t="shared" si="84"/>
        <v>0</v>
      </c>
      <c r="L417" s="305">
        <f t="shared" si="85"/>
        <v>0</v>
      </c>
      <c r="M417" s="314"/>
      <c r="N417" s="299"/>
      <c r="O417" s="299"/>
      <c r="P417" s="317"/>
      <c r="Q417" s="313"/>
      <c r="R417" s="313"/>
      <c r="S417" s="146"/>
      <c r="T417" s="146"/>
    </row>
    <row r="418" spans="1:20" s="139" customFormat="1" ht="39.6" x14ac:dyDescent="0.3">
      <c r="A418" s="304">
        <v>2</v>
      </c>
      <c r="B418" s="393" t="s">
        <v>450</v>
      </c>
      <c r="C418" s="364" t="s">
        <v>100</v>
      </c>
      <c r="D418" s="389" t="s">
        <v>281</v>
      </c>
      <c r="E418" s="304"/>
      <c r="F418" s="304"/>
      <c r="G418" s="304"/>
      <c r="H418" s="304"/>
      <c r="I418" s="401"/>
      <c r="J418" s="305">
        <f t="shared" si="83"/>
        <v>0</v>
      </c>
      <c r="K418" s="305">
        <f t="shared" si="84"/>
        <v>0</v>
      </c>
      <c r="L418" s="305">
        <f t="shared" si="85"/>
        <v>0</v>
      </c>
      <c r="M418" s="314"/>
      <c r="N418" s="299"/>
      <c r="O418" s="299"/>
      <c r="P418" s="317"/>
      <c r="Q418" s="313"/>
      <c r="R418" s="313"/>
      <c r="S418" s="146"/>
      <c r="T418" s="146"/>
    </row>
    <row r="419" spans="1:20" s="139" customFormat="1" ht="27" x14ac:dyDescent="0.3">
      <c r="A419" s="304">
        <v>3</v>
      </c>
      <c r="B419" s="393" t="s">
        <v>451</v>
      </c>
      <c r="C419" s="364" t="s">
        <v>100</v>
      </c>
      <c r="D419" s="389" t="s">
        <v>281</v>
      </c>
      <c r="E419" s="304"/>
      <c r="F419" s="304"/>
      <c r="G419" s="304"/>
      <c r="H419" s="304"/>
      <c r="I419" s="401"/>
      <c r="J419" s="305">
        <f t="shared" si="83"/>
        <v>0</v>
      </c>
      <c r="K419" s="305">
        <f t="shared" si="84"/>
        <v>0</v>
      </c>
      <c r="L419" s="305">
        <f t="shared" si="85"/>
        <v>0</v>
      </c>
      <c r="M419" s="314"/>
      <c r="N419" s="299"/>
      <c r="O419" s="299"/>
      <c r="P419" s="317"/>
      <c r="Q419" s="313"/>
      <c r="R419" s="313"/>
      <c r="S419" s="146"/>
      <c r="T419" s="146"/>
    </row>
    <row r="420" spans="1:20" s="139" customFormat="1" ht="27" x14ac:dyDescent="0.3">
      <c r="A420" s="304">
        <v>4</v>
      </c>
      <c r="B420" s="403" t="s">
        <v>452</v>
      </c>
      <c r="C420" s="365" t="s">
        <v>100</v>
      </c>
      <c r="D420" s="389" t="s">
        <v>281</v>
      </c>
      <c r="E420" s="303"/>
      <c r="F420" s="303"/>
      <c r="G420" s="303"/>
      <c r="H420" s="303"/>
      <c r="I420" s="401"/>
      <c r="J420" s="305">
        <f t="shared" si="83"/>
        <v>0</v>
      </c>
      <c r="K420" s="305">
        <f t="shared" si="84"/>
        <v>0</v>
      </c>
      <c r="L420" s="305">
        <f t="shared" si="85"/>
        <v>0</v>
      </c>
      <c r="M420" s="314"/>
      <c r="N420" s="299"/>
      <c r="O420" s="299"/>
      <c r="P420" s="317"/>
      <c r="Q420" s="313"/>
      <c r="R420" s="313"/>
      <c r="S420" s="146"/>
      <c r="T420" s="146"/>
    </row>
    <row r="421" spans="1:20" s="139" customFormat="1" ht="27" x14ac:dyDescent="0.3">
      <c r="A421" s="304">
        <v>5</v>
      </c>
      <c r="B421" s="299" t="s">
        <v>367</v>
      </c>
      <c r="C421" s="365" t="s">
        <v>100</v>
      </c>
      <c r="D421" s="350" t="s">
        <v>453</v>
      </c>
      <c r="E421" s="304">
        <v>2</v>
      </c>
      <c r="F421" s="304">
        <v>6</v>
      </c>
      <c r="G421" s="304">
        <v>6</v>
      </c>
      <c r="H421" s="304">
        <v>6</v>
      </c>
      <c r="I421" s="401"/>
      <c r="J421" s="305">
        <f t="shared" si="83"/>
        <v>0</v>
      </c>
      <c r="K421" s="305">
        <f t="shared" si="84"/>
        <v>226800</v>
      </c>
      <c r="L421" s="305">
        <f t="shared" si="85"/>
        <v>226800</v>
      </c>
      <c r="M421" s="314"/>
      <c r="N421" s="299"/>
      <c r="O421" s="299"/>
      <c r="P421" s="317"/>
      <c r="Q421" s="313">
        <v>30</v>
      </c>
      <c r="R421" s="313"/>
      <c r="S421" s="146"/>
      <c r="T421" s="146"/>
    </row>
    <row r="422" spans="1:20" s="139" customFormat="1" ht="39.6" x14ac:dyDescent="0.3">
      <c r="A422" s="304">
        <v>6</v>
      </c>
      <c r="B422" s="299" t="s">
        <v>369</v>
      </c>
      <c r="C422" s="365" t="s">
        <v>100</v>
      </c>
      <c r="D422" s="350" t="s">
        <v>453</v>
      </c>
      <c r="E422" s="304">
        <v>2</v>
      </c>
      <c r="F422" s="304">
        <v>6</v>
      </c>
      <c r="G422" s="304">
        <v>6</v>
      </c>
      <c r="H422" s="304">
        <v>6</v>
      </c>
      <c r="I422" s="401"/>
      <c r="J422" s="305">
        <f t="shared" si="83"/>
        <v>0</v>
      </c>
      <c r="K422" s="305">
        <f t="shared" si="84"/>
        <v>226800</v>
      </c>
      <c r="L422" s="305">
        <f t="shared" si="85"/>
        <v>226800</v>
      </c>
      <c r="M422" s="314"/>
      <c r="N422" s="299"/>
      <c r="O422" s="299"/>
      <c r="P422" s="317"/>
      <c r="Q422" s="313">
        <v>30</v>
      </c>
      <c r="R422" s="313"/>
      <c r="S422" s="146"/>
      <c r="T422" s="146"/>
    </row>
    <row r="423" spans="1:20" s="145" customFormat="1" ht="15.6" x14ac:dyDescent="0.3">
      <c r="A423" s="278"/>
      <c r="B423" s="284" t="s">
        <v>177</v>
      </c>
      <c r="C423" s="283"/>
      <c r="D423" s="283"/>
      <c r="E423" s="283">
        <f>SUM(E424:E431)</f>
        <v>4</v>
      </c>
      <c r="F423" s="283">
        <f t="shared" ref="F423:L423" si="88">SUM(F424:F431)</f>
        <v>4</v>
      </c>
      <c r="G423" s="283">
        <f t="shared" si="88"/>
        <v>12</v>
      </c>
      <c r="H423" s="283">
        <f t="shared" si="88"/>
        <v>12</v>
      </c>
      <c r="I423" s="283">
        <f t="shared" si="88"/>
        <v>0</v>
      </c>
      <c r="J423" s="283">
        <f t="shared" si="88"/>
        <v>0</v>
      </c>
      <c r="K423" s="283">
        <f t="shared" si="88"/>
        <v>151200</v>
      </c>
      <c r="L423" s="283">
        <f t="shared" si="88"/>
        <v>151200</v>
      </c>
      <c r="M423" s="281"/>
      <c r="N423" s="307"/>
      <c r="O423" s="307"/>
      <c r="P423" s="319"/>
      <c r="Q423" s="360">
        <v>60</v>
      </c>
      <c r="R423" s="360"/>
      <c r="S423" s="147"/>
      <c r="T423" s="147"/>
    </row>
    <row r="424" spans="1:20" s="139" customFormat="1" ht="52.8" x14ac:dyDescent="0.3">
      <c r="A424" s="304">
        <v>1</v>
      </c>
      <c r="B424" s="299" t="s">
        <v>454</v>
      </c>
      <c r="C424" s="364" t="s">
        <v>100</v>
      </c>
      <c r="D424" s="389" t="s">
        <v>281</v>
      </c>
      <c r="E424" s="304"/>
      <c r="F424" s="304"/>
      <c r="G424" s="304"/>
      <c r="H424" s="304"/>
      <c r="I424" s="401"/>
      <c r="J424" s="305">
        <f t="shared" si="83"/>
        <v>0</v>
      </c>
      <c r="K424" s="305">
        <f t="shared" si="84"/>
        <v>0</v>
      </c>
      <c r="L424" s="305">
        <f t="shared" si="85"/>
        <v>0</v>
      </c>
      <c r="M424" s="314"/>
      <c r="N424" s="299"/>
      <c r="O424" s="299"/>
      <c r="P424" s="317"/>
      <c r="Q424" s="313"/>
      <c r="R424" s="313"/>
      <c r="S424" s="146"/>
      <c r="T424" s="146"/>
    </row>
    <row r="425" spans="1:20" s="139" customFormat="1" ht="52.8" x14ac:dyDescent="0.3">
      <c r="A425" s="304">
        <v>2</v>
      </c>
      <c r="B425" s="299" t="s">
        <v>455</v>
      </c>
      <c r="C425" s="364" t="s">
        <v>100</v>
      </c>
      <c r="D425" s="350" t="s">
        <v>281</v>
      </c>
      <c r="E425" s="304"/>
      <c r="F425" s="304"/>
      <c r="G425" s="304"/>
      <c r="H425" s="304"/>
      <c r="I425" s="401"/>
      <c r="J425" s="305">
        <f t="shared" si="83"/>
        <v>0</v>
      </c>
      <c r="K425" s="305">
        <f t="shared" si="84"/>
        <v>0</v>
      </c>
      <c r="L425" s="305">
        <f t="shared" si="85"/>
        <v>0</v>
      </c>
      <c r="M425" s="314"/>
      <c r="N425" s="299"/>
      <c r="O425" s="299"/>
      <c r="P425" s="317"/>
      <c r="Q425" s="313"/>
      <c r="R425" s="313"/>
      <c r="S425" s="146"/>
      <c r="T425" s="146"/>
    </row>
    <row r="426" spans="1:20" s="139" customFormat="1" ht="27" x14ac:dyDescent="0.3">
      <c r="A426" s="304">
        <v>3</v>
      </c>
      <c r="B426" s="346" t="s">
        <v>456</v>
      </c>
      <c r="C426" s="364" t="s">
        <v>100</v>
      </c>
      <c r="D426" s="350" t="s">
        <v>281</v>
      </c>
      <c r="E426" s="304"/>
      <c r="F426" s="304"/>
      <c r="G426" s="304"/>
      <c r="H426" s="304"/>
      <c r="I426" s="401"/>
      <c r="J426" s="305">
        <f t="shared" si="83"/>
        <v>0</v>
      </c>
      <c r="K426" s="305">
        <f t="shared" si="84"/>
        <v>0</v>
      </c>
      <c r="L426" s="305">
        <f t="shared" si="85"/>
        <v>0</v>
      </c>
      <c r="M426" s="314"/>
      <c r="N426" s="299"/>
      <c r="O426" s="299"/>
      <c r="P426" s="317"/>
      <c r="Q426" s="313"/>
      <c r="R426" s="313"/>
      <c r="S426" s="146"/>
      <c r="T426" s="146"/>
    </row>
    <row r="427" spans="1:20" s="139" customFormat="1" ht="27" x14ac:dyDescent="0.3">
      <c r="A427" s="304">
        <v>4</v>
      </c>
      <c r="B427" s="393" t="s">
        <v>457</v>
      </c>
      <c r="C427" s="364" t="s">
        <v>100</v>
      </c>
      <c r="D427" s="350" t="s">
        <v>281</v>
      </c>
      <c r="E427" s="304"/>
      <c r="F427" s="304"/>
      <c r="G427" s="304"/>
      <c r="H427" s="304"/>
      <c r="I427" s="401"/>
      <c r="J427" s="305">
        <f t="shared" si="83"/>
        <v>0</v>
      </c>
      <c r="K427" s="305">
        <f t="shared" si="84"/>
        <v>0</v>
      </c>
      <c r="L427" s="305">
        <f t="shared" si="85"/>
        <v>0</v>
      </c>
      <c r="M427" s="314"/>
      <c r="N427" s="299"/>
      <c r="O427" s="299"/>
      <c r="P427" s="317"/>
      <c r="Q427" s="313"/>
      <c r="R427" s="313"/>
      <c r="S427" s="146"/>
      <c r="T427" s="146"/>
    </row>
    <row r="428" spans="1:20" s="139" customFormat="1" ht="27" x14ac:dyDescent="0.3">
      <c r="A428" s="304">
        <v>5</v>
      </c>
      <c r="B428" s="393" t="s">
        <v>458</v>
      </c>
      <c r="C428" s="364" t="s">
        <v>100</v>
      </c>
      <c r="D428" s="350" t="s">
        <v>281</v>
      </c>
      <c r="E428" s="304"/>
      <c r="F428" s="304"/>
      <c r="G428" s="304"/>
      <c r="H428" s="304"/>
      <c r="I428" s="401"/>
      <c r="J428" s="305">
        <f t="shared" si="83"/>
        <v>0</v>
      </c>
      <c r="K428" s="305">
        <f t="shared" si="84"/>
        <v>0</v>
      </c>
      <c r="L428" s="305">
        <f t="shared" si="85"/>
        <v>0</v>
      </c>
      <c r="M428" s="314"/>
      <c r="N428" s="299"/>
      <c r="O428" s="299"/>
      <c r="P428" s="317"/>
      <c r="Q428" s="313"/>
      <c r="R428" s="313"/>
      <c r="S428" s="146"/>
      <c r="T428" s="146"/>
    </row>
    <row r="429" spans="1:20" s="139" customFormat="1" ht="27" x14ac:dyDescent="0.3">
      <c r="A429" s="304">
        <v>6</v>
      </c>
      <c r="B429" s="404" t="s">
        <v>459</v>
      </c>
      <c r="C429" s="364" t="s">
        <v>100</v>
      </c>
      <c r="D429" s="350" t="s">
        <v>281</v>
      </c>
      <c r="E429" s="304"/>
      <c r="F429" s="304"/>
      <c r="G429" s="304"/>
      <c r="H429" s="304"/>
      <c r="I429" s="401"/>
      <c r="J429" s="305">
        <f t="shared" si="83"/>
        <v>0</v>
      </c>
      <c r="K429" s="305">
        <f t="shared" si="84"/>
        <v>0</v>
      </c>
      <c r="L429" s="305">
        <f t="shared" si="85"/>
        <v>0</v>
      </c>
      <c r="M429" s="314"/>
      <c r="N429" s="299"/>
      <c r="O429" s="299"/>
      <c r="P429" s="317"/>
      <c r="Q429" s="313"/>
      <c r="R429" s="313"/>
      <c r="S429" s="146"/>
      <c r="T429" s="146"/>
    </row>
    <row r="430" spans="1:20" s="139" customFormat="1" ht="27" x14ac:dyDescent="0.3">
      <c r="A430" s="304">
        <v>7</v>
      </c>
      <c r="B430" s="299" t="s">
        <v>371</v>
      </c>
      <c r="C430" s="364" t="s">
        <v>100</v>
      </c>
      <c r="D430" s="350" t="s">
        <v>453</v>
      </c>
      <c r="E430" s="304">
        <v>2</v>
      </c>
      <c r="F430" s="304">
        <v>2</v>
      </c>
      <c r="G430" s="304">
        <v>6</v>
      </c>
      <c r="H430" s="304">
        <v>6</v>
      </c>
      <c r="I430" s="401"/>
      <c r="J430" s="305">
        <f t="shared" si="83"/>
        <v>0</v>
      </c>
      <c r="K430" s="305">
        <f t="shared" si="84"/>
        <v>75600</v>
      </c>
      <c r="L430" s="305">
        <f t="shared" si="85"/>
        <v>75600</v>
      </c>
      <c r="M430" s="314"/>
      <c r="N430" s="299"/>
      <c r="O430" s="299"/>
      <c r="P430" s="317"/>
      <c r="Q430" s="313"/>
      <c r="R430" s="313"/>
      <c r="S430" s="146"/>
      <c r="T430" s="146"/>
    </row>
    <row r="431" spans="1:20" s="139" customFormat="1" ht="27" x14ac:dyDescent="0.3">
      <c r="A431" s="304">
        <v>8</v>
      </c>
      <c r="B431" s="299" t="s">
        <v>460</v>
      </c>
      <c r="C431" s="364" t="s">
        <v>100</v>
      </c>
      <c r="D431" s="350" t="s">
        <v>453</v>
      </c>
      <c r="E431" s="304">
        <v>2</v>
      </c>
      <c r="F431" s="304">
        <v>2</v>
      </c>
      <c r="G431" s="304">
        <v>6</v>
      </c>
      <c r="H431" s="304">
        <v>6</v>
      </c>
      <c r="I431" s="401"/>
      <c r="J431" s="305">
        <f t="shared" si="83"/>
        <v>0</v>
      </c>
      <c r="K431" s="305">
        <f t="shared" si="84"/>
        <v>75600</v>
      </c>
      <c r="L431" s="305">
        <f t="shared" si="85"/>
        <v>75600</v>
      </c>
      <c r="M431" s="314"/>
      <c r="N431" s="299"/>
      <c r="O431" s="299"/>
      <c r="P431" s="317"/>
      <c r="Q431" s="313"/>
      <c r="R431" s="313"/>
      <c r="S431" s="146"/>
      <c r="T431" s="146"/>
    </row>
    <row r="432" spans="1:20" s="145" customFormat="1" ht="15.6" x14ac:dyDescent="0.3">
      <c r="A432" s="278"/>
      <c r="B432" s="284" t="s">
        <v>192</v>
      </c>
      <c r="C432" s="278"/>
      <c r="D432" s="278"/>
      <c r="E432" s="278">
        <f>SUM(E433:E435)</f>
        <v>2</v>
      </c>
      <c r="F432" s="278">
        <f t="shared" ref="F432:L432" si="89">SUM(F433:F435)</f>
        <v>2</v>
      </c>
      <c r="G432" s="278">
        <f t="shared" si="89"/>
        <v>6</v>
      </c>
      <c r="H432" s="278">
        <f t="shared" si="89"/>
        <v>6</v>
      </c>
      <c r="I432" s="278">
        <f t="shared" si="89"/>
        <v>0</v>
      </c>
      <c r="J432" s="278">
        <f t="shared" si="89"/>
        <v>0</v>
      </c>
      <c r="K432" s="278">
        <f t="shared" si="89"/>
        <v>75600</v>
      </c>
      <c r="L432" s="278">
        <f t="shared" si="89"/>
        <v>75600</v>
      </c>
      <c r="M432" s="281"/>
      <c r="N432" s="307"/>
      <c r="O432" s="307"/>
      <c r="P432" s="319"/>
      <c r="Q432" s="360">
        <v>6</v>
      </c>
      <c r="R432" s="360"/>
      <c r="S432" s="147"/>
      <c r="T432" s="147"/>
    </row>
    <row r="433" spans="1:20" s="139" customFormat="1" ht="52.8" x14ac:dyDescent="0.3">
      <c r="A433" s="304">
        <v>1</v>
      </c>
      <c r="B433" s="393" t="s">
        <v>461</v>
      </c>
      <c r="C433" s="364" t="s">
        <v>100</v>
      </c>
      <c r="D433" s="350" t="s">
        <v>281</v>
      </c>
      <c r="E433" s="304"/>
      <c r="F433" s="304"/>
      <c r="G433" s="304"/>
      <c r="H433" s="304"/>
      <c r="I433" s="401"/>
      <c r="J433" s="305">
        <f t="shared" si="83"/>
        <v>0</v>
      </c>
      <c r="K433" s="305">
        <f t="shared" si="84"/>
        <v>0</v>
      </c>
      <c r="L433" s="305">
        <f t="shared" si="85"/>
        <v>0</v>
      </c>
      <c r="M433" s="314"/>
      <c r="N433" s="299"/>
      <c r="O433" s="299"/>
      <c r="P433" s="317"/>
      <c r="Q433" s="313"/>
      <c r="R433" s="313"/>
      <c r="S433" s="146"/>
      <c r="T433" s="146"/>
    </row>
    <row r="434" spans="1:20" s="139" customFormat="1" ht="27" x14ac:dyDescent="0.3">
      <c r="A434" s="304">
        <v>2</v>
      </c>
      <c r="B434" s="393" t="s">
        <v>462</v>
      </c>
      <c r="C434" s="364" t="s">
        <v>100</v>
      </c>
      <c r="D434" s="350" t="s">
        <v>281</v>
      </c>
      <c r="E434" s="304"/>
      <c r="F434" s="304"/>
      <c r="G434" s="304"/>
      <c r="H434" s="304"/>
      <c r="I434" s="401"/>
      <c r="J434" s="305">
        <f t="shared" si="83"/>
        <v>0</v>
      </c>
      <c r="K434" s="305">
        <f t="shared" si="84"/>
        <v>0</v>
      </c>
      <c r="L434" s="305">
        <f t="shared" si="85"/>
        <v>0</v>
      </c>
      <c r="M434" s="314"/>
      <c r="N434" s="299"/>
      <c r="O434" s="299"/>
      <c r="P434" s="317"/>
      <c r="Q434" s="313"/>
      <c r="R434" s="313"/>
      <c r="S434" s="146"/>
      <c r="T434" s="146"/>
    </row>
    <row r="435" spans="1:20" s="139" customFormat="1" ht="27" x14ac:dyDescent="0.3">
      <c r="A435" s="304">
        <v>3</v>
      </c>
      <c r="B435" s="299" t="s">
        <v>463</v>
      </c>
      <c r="C435" s="364" t="s">
        <v>100</v>
      </c>
      <c r="D435" s="350" t="s">
        <v>453</v>
      </c>
      <c r="E435" s="304">
        <v>2</v>
      </c>
      <c r="F435" s="304">
        <v>2</v>
      </c>
      <c r="G435" s="304">
        <v>6</v>
      </c>
      <c r="H435" s="304">
        <v>6</v>
      </c>
      <c r="I435" s="401"/>
      <c r="J435" s="305">
        <f t="shared" si="83"/>
        <v>0</v>
      </c>
      <c r="K435" s="305">
        <f t="shared" si="84"/>
        <v>75600</v>
      </c>
      <c r="L435" s="305">
        <f t="shared" si="85"/>
        <v>75600</v>
      </c>
      <c r="M435" s="314"/>
      <c r="N435" s="299"/>
      <c r="O435" s="299"/>
      <c r="P435" s="317"/>
      <c r="Q435" s="313"/>
      <c r="R435" s="313"/>
      <c r="S435" s="146"/>
      <c r="T435" s="146"/>
    </row>
    <row r="436" spans="1:20" s="139" customFormat="1" ht="15.6" x14ac:dyDescent="0.3">
      <c r="A436" s="278" t="s">
        <v>101</v>
      </c>
      <c r="B436" s="698" t="s">
        <v>179</v>
      </c>
      <c r="C436" s="699"/>
      <c r="D436" s="301"/>
      <c r="E436" s="309"/>
      <c r="F436" s="309"/>
      <c r="G436" s="309"/>
      <c r="H436" s="309"/>
      <c r="I436" s="378"/>
      <c r="J436" s="305">
        <f t="shared" si="83"/>
        <v>0</v>
      </c>
      <c r="K436" s="305">
        <f t="shared" si="84"/>
        <v>0</v>
      </c>
      <c r="L436" s="305">
        <f t="shared" si="85"/>
        <v>0</v>
      </c>
      <c r="M436" s="312"/>
      <c r="N436" s="299"/>
      <c r="O436" s="299"/>
      <c r="P436" s="317"/>
      <c r="Q436" s="313"/>
      <c r="R436" s="313"/>
      <c r="S436" s="146"/>
      <c r="T436" s="146"/>
    </row>
    <row r="437" spans="1:20" s="139" customFormat="1" ht="15.6" x14ac:dyDescent="0.3">
      <c r="A437" s="278"/>
      <c r="B437" s="311" t="s">
        <v>4</v>
      </c>
      <c r="C437" s="311"/>
      <c r="D437" s="304"/>
      <c r="E437" s="283">
        <f>SUM('[5]3. Chuyen giao ki thuat '!E437:E441)</f>
        <v>10</v>
      </c>
      <c r="F437" s="283">
        <f>SUM('[5]3. Chuyen giao ki thuat '!F437:F441)</f>
        <v>12</v>
      </c>
      <c r="G437" s="283">
        <f>SUM('[5]3. Chuyen giao ki thuat '!G437:G441)</f>
        <v>15</v>
      </c>
      <c r="H437" s="283">
        <f>SUM('[5]3. Chuyen giao ki thuat '!H437:H441)</f>
        <v>15</v>
      </c>
      <c r="I437" s="283">
        <f>SUM('[5]3. Chuyen giao ki thuat '!I437:I441)</f>
        <v>0</v>
      </c>
      <c r="J437" s="283">
        <f>SUM('[5]3. Chuyen giao ki thuat '!J437:J441)</f>
        <v>0</v>
      </c>
      <c r="K437" s="283">
        <f>SUM('[5]3. Chuyen giao ki thuat '!K437:K441)</f>
        <v>280800</v>
      </c>
      <c r="L437" s="283">
        <f>SUM('[5]3. Chuyen giao ki thuat '!L437:L441)</f>
        <v>280800</v>
      </c>
      <c r="M437" s="312"/>
      <c r="N437" s="299"/>
      <c r="O437" s="299"/>
      <c r="P437" s="317"/>
      <c r="Q437" s="313">
        <f>SUM(Q438:Q442)</f>
        <v>21</v>
      </c>
      <c r="R437" s="313"/>
      <c r="S437" s="146"/>
      <c r="T437" s="146"/>
    </row>
    <row r="438" spans="1:20" s="139" customFormat="1" ht="39.6" x14ac:dyDescent="0.3">
      <c r="A438" s="304">
        <v>1</v>
      </c>
      <c r="B438" s="299" t="s">
        <v>464</v>
      </c>
      <c r="C438" s="304" t="s">
        <v>398</v>
      </c>
      <c r="D438" s="304" t="s">
        <v>100</v>
      </c>
      <c r="E438" s="304">
        <v>2</v>
      </c>
      <c r="F438" s="304">
        <v>4</v>
      </c>
      <c r="G438" s="304">
        <v>3</v>
      </c>
      <c r="H438" s="304">
        <v>3</v>
      </c>
      <c r="I438" s="379"/>
      <c r="J438" s="305">
        <f t="shared" si="83"/>
        <v>0</v>
      </c>
      <c r="K438" s="305">
        <f t="shared" si="84"/>
        <v>93600</v>
      </c>
      <c r="L438" s="305">
        <f t="shared" si="85"/>
        <v>93600</v>
      </c>
      <c r="M438" s="314"/>
      <c r="N438" s="299"/>
      <c r="O438" s="299"/>
      <c r="P438" s="317"/>
      <c r="Q438" s="313">
        <v>9</v>
      </c>
      <c r="R438" s="313"/>
      <c r="S438" s="146"/>
      <c r="T438" s="146"/>
    </row>
    <row r="439" spans="1:20" s="139" customFormat="1" ht="39.6" x14ac:dyDescent="0.3">
      <c r="A439" s="304">
        <v>2</v>
      </c>
      <c r="B439" s="299" t="s">
        <v>465</v>
      </c>
      <c r="C439" s="304" t="s">
        <v>398</v>
      </c>
      <c r="D439" s="304" t="s">
        <v>100</v>
      </c>
      <c r="E439" s="304">
        <v>2</v>
      </c>
      <c r="F439" s="304">
        <v>2</v>
      </c>
      <c r="G439" s="304">
        <v>3</v>
      </c>
      <c r="H439" s="304">
        <v>3</v>
      </c>
      <c r="I439" s="379"/>
      <c r="J439" s="305">
        <f t="shared" si="83"/>
        <v>0</v>
      </c>
      <c r="K439" s="305">
        <f t="shared" si="84"/>
        <v>46800</v>
      </c>
      <c r="L439" s="305">
        <f t="shared" si="85"/>
        <v>46800</v>
      </c>
      <c r="M439" s="314"/>
      <c r="N439" s="299"/>
      <c r="O439" s="299"/>
      <c r="P439" s="317"/>
      <c r="Q439" s="313">
        <v>3</v>
      </c>
      <c r="R439" s="313"/>
      <c r="S439" s="146"/>
      <c r="T439" s="146"/>
    </row>
    <row r="440" spans="1:20" s="139" customFormat="1" ht="24.75" customHeight="1" x14ac:dyDescent="0.3">
      <c r="A440" s="304">
        <v>3</v>
      </c>
      <c r="B440" s="299" t="s">
        <v>466</v>
      </c>
      <c r="C440" s="304" t="s">
        <v>398</v>
      </c>
      <c r="D440" s="304" t="s">
        <v>100</v>
      </c>
      <c r="E440" s="304">
        <v>2</v>
      </c>
      <c r="F440" s="304">
        <v>2</v>
      </c>
      <c r="G440" s="304">
        <v>3</v>
      </c>
      <c r="H440" s="304">
        <v>3</v>
      </c>
      <c r="I440" s="379"/>
      <c r="J440" s="305">
        <f t="shared" si="83"/>
        <v>0</v>
      </c>
      <c r="K440" s="305">
        <f t="shared" si="84"/>
        <v>46800</v>
      </c>
      <c r="L440" s="305">
        <f t="shared" si="85"/>
        <v>46800</v>
      </c>
      <c r="M440" s="314"/>
      <c r="N440" s="299"/>
      <c r="O440" s="299"/>
      <c r="P440" s="317"/>
      <c r="Q440" s="313">
        <v>3</v>
      </c>
      <c r="R440" s="313"/>
      <c r="S440" s="146"/>
      <c r="T440" s="146"/>
    </row>
    <row r="441" spans="1:20" s="139" customFormat="1" ht="41.25" customHeight="1" x14ac:dyDescent="0.3">
      <c r="A441" s="304">
        <v>4</v>
      </c>
      <c r="B441" s="299" t="s">
        <v>467</v>
      </c>
      <c r="C441" s="304" t="s">
        <v>398</v>
      </c>
      <c r="D441" s="304" t="s">
        <v>100</v>
      </c>
      <c r="E441" s="304">
        <v>2</v>
      </c>
      <c r="F441" s="304">
        <v>2</v>
      </c>
      <c r="G441" s="304">
        <v>3</v>
      </c>
      <c r="H441" s="304">
        <v>3</v>
      </c>
      <c r="I441" s="379"/>
      <c r="J441" s="305">
        <f t="shared" si="83"/>
        <v>0</v>
      </c>
      <c r="K441" s="305">
        <f t="shared" si="84"/>
        <v>46800</v>
      </c>
      <c r="L441" s="305">
        <f t="shared" si="85"/>
        <v>46800</v>
      </c>
      <c r="M441" s="314"/>
      <c r="N441" s="299"/>
      <c r="O441" s="299"/>
      <c r="P441" s="317"/>
      <c r="Q441" s="313">
        <v>3</v>
      </c>
      <c r="R441" s="313"/>
      <c r="S441" s="146"/>
      <c r="T441" s="146"/>
    </row>
    <row r="442" spans="1:20" s="139" customFormat="1" ht="26.25" customHeight="1" x14ac:dyDescent="0.3">
      <c r="A442" s="304">
        <v>5</v>
      </c>
      <c r="B442" s="299" t="s">
        <v>468</v>
      </c>
      <c r="C442" s="304" t="s">
        <v>398</v>
      </c>
      <c r="D442" s="304" t="s">
        <v>100</v>
      </c>
      <c r="E442" s="304">
        <v>2</v>
      </c>
      <c r="F442" s="304">
        <v>2</v>
      </c>
      <c r="G442" s="304">
        <v>3</v>
      </c>
      <c r="H442" s="304">
        <v>3</v>
      </c>
      <c r="I442" s="379"/>
      <c r="J442" s="305">
        <f t="shared" si="83"/>
        <v>0</v>
      </c>
      <c r="K442" s="305">
        <f t="shared" si="84"/>
        <v>46800</v>
      </c>
      <c r="L442" s="305">
        <f t="shared" si="85"/>
        <v>46800</v>
      </c>
      <c r="M442" s="314"/>
      <c r="N442" s="299"/>
      <c r="O442" s="299"/>
      <c r="P442" s="317"/>
      <c r="Q442" s="313">
        <v>3</v>
      </c>
      <c r="R442" s="313"/>
      <c r="S442" s="146"/>
      <c r="T442" s="146"/>
    </row>
    <row r="443" spans="1:20" s="129" customFormat="1" x14ac:dyDescent="0.35">
      <c r="A443" s="278"/>
      <c r="B443" s="307" t="s">
        <v>175</v>
      </c>
      <c r="C443" s="304"/>
      <c r="D443" s="304"/>
      <c r="E443" s="299"/>
      <c r="F443" s="299"/>
      <c r="G443" s="299"/>
      <c r="H443" s="299"/>
      <c r="I443" s="299"/>
      <c r="J443" s="305">
        <f t="shared" si="83"/>
        <v>0</v>
      </c>
      <c r="K443" s="305">
        <f t="shared" si="84"/>
        <v>0</v>
      </c>
      <c r="L443" s="305">
        <f t="shared" si="85"/>
        <v>0</v>
      </c>
      <c r="M443" s="336"/>
      <c r="N443" s="327"/>
      <c r="O443" s="327"/>
      <c r="P443" s="327"/>
      <c r="Q443" s="366"/>
      <c r="R443" s="366"/>
      <c r="S443" s="2"/>
      <c r="T443" s="2"/>
    </row>
    <row r="444" spans="1:20" s="129" customFormat="1" ht="36.75" customHeight="1" x14ac:dyDescent="0.35">
      <c r="A444" s="304">
        <v>1</v>
      </c>
      <c r="B444" s="299" t="s">
        <v>469</v>
      </c>
      <c r="C444" s="304" t="s">
        <v>398</v>
      </c>
      <c r="D444" s="304" t="s">
        <v>100</v>
      </c>
      <c r="E444" s="299">
        <v>2</v>
      </c>
      <c r="F444" s="299">
        <v>4</v>
      </c>
      <c r="G444" s="299">
        <v>3</v>
      </c>
      <c r="H444" s="299">
        <v>3</v>
      </c>
      <c r="I444" s="299"/>
      <c r="J444" s="305">
        <f t="shared" si="83"/>
        <v>0</v>
      </c>
      <c r="K444" s="305">
        <f t="shared" si="84"/>
        <v>93600</v>
      </c>
      <c r="L444" s="305">
        <f t="shared" si="85"/>
        <v>93600</v>
      </c>
      <c r="M444" s="336"/>
      <c r="N444" s="327"/>
      <c r="O444" s="327"/>
      <c r="P444" s="327"/>
      <c r="Q444" s="366">
        <v>9</v>
      </c>
      <c r="R444" s="366"/>
      <c r="S444" s="2"/>
      <c r="T444" s="2"/>
    </row>
    <row r="445" spans="1:20" s="129" customFormat="1" x14ac:dyDescent="0.35">
      <c r="A445" s="278"/>
      <c r="B445" s="307" t="s">
        <v>177</v>
      </c>
      <c r="C445" s="304"/>
      <c r="D445" s="304"/>
      <c r="E445" s="299">
        <f>SUM(E446:E451)</f>
        <v>10</v>
      </c>
      <c r="F445" s="299">
        <f t="shared" ref="F445:L445" si="90">SUM(F446:F451)</f>
        <v>10</v>
      </c>
      <c r="G445" s="299">
        <f t="shared" si="90"/>
        <v>15</v>
      </c>
      <c r="H445" s="299">
        <f t="shared" si="90"/>
        <v>15</v>
      </c>
      <c r="I445" s="299">
        <f t="shared" si="90"/>
        <v>0</v>
      </c>
      <c r="J445" s="299">
        <f t="shared" si="90"/>
        <v>0</v>
      </c>
      <c r="K445" s="299">
        <f t="shared" si="90"/>
        <v>219600</v>
      </c>
      <c r="L445" s="299">
        <f t="shared" si="90"/>
        <v>219600</v>
      </c>
      <c r="M445" s="336"/>
      <c r="N445" s="327"/>
      <c r="O445" s="327"/>
      <c r="P445" s="327"/>
      <c r="Q445" s="361">
        <f>SUM(Q446:Q451)</f>
        <v>15</v>
      </c>
      <c r="R445" s="366"/>
      <c r="S445" s="2"/>
      <c r="T445" s="2"/>
    </row>
    <row r="446" spans="1:20" s="129" customFormat="1" ht="39.6" x14ac:dyDescent="0.35">
      <c r="A446" s="304">
        <v>1</v>
      </c>
      <c r="B446" s="299" t="s">
        <v>470</v>
      </c>
      <c r="C446" s="304" t="s">
        <v>398</v>
      </c>
      <c r="D446" s="304" t="s">
        <v>100</v>
      </c>
      <c r="E446" s="299">
        <v>2</v>
      </c>
      <c r="F446" s="299">
        <v>2</v>
      </c>
      <c r="G446" s="299">
        <v>3</v>
      </c>
      <c r="H446" s="299">
        <v>3</v>
      </c>
      <c r="I446" s="299"/>
      <c r="J446" s="305">
        <f t="shared" si="83"/>
        <v>0</v>
      </c>
      <c r="K446" s="305">
        <f t="shared" si="84"/>
        <v>46800</v>
      </c>
      <c r="L446" s="305">
        <f t="shared" si="85"/>
        <v>46800</v>
      </c>
      <c r="M446" s="336"/>
      <c r="N446" s="327"/>
      <c r="O446" s="327"/>
      <c r="P446" s="327"/>
      <c r="Q446" s="366">
        <v>3</v>
      </c>
      <c r="R446" s="366"/>
      <c r="S446" s="2"/>
      <c r="T446" s="2"/>
    </row>
    <row r="447" spans="1:20" s="129" customFormat="1" ht="39.6" x14ac:dyDescent="0.35">
      <c r="A447" s="304">
        <v>2</v>
      </c>
      <c r="B447" s="299" t="s">
        <v>471</v>
      </c>
      <c r="C447" s="304" t="s">
        <v>398</v>
      </c>
      <c r="D447" s="304" t="s">
        <v>100</v>
      </c>
      <c r="E447" s="299">
        <v>2</v>
      </c>
      <c r="F447" s="299">
        <v>2</v>
      </c>
      <c r="G447" s="299">
        <v>3</v>
      </c>
      <c r="H447" s="299">
        <v>3</v>
      </c>
      <c r="I447" s="299"/>
      <c r="J447" s="305">
        <f t="shared" si="83"/>
        <v>0</v>
      </c>
      <c r="K447" s="305">
        <f t="shared" si="84"/>
        <v>46800</v>
      </c>
      <c r="L447" s="305">
        <f t="shared" si="85"/>
        <v>46800</v>
      </c>
      <c r="M447" s="336"/>
      <c r="N447" s="327"/>
      <c r="O447" s="327"/>
      <c r="P447" s="327"/>
      <c r="Q447" s="366">
        <v>3</v>
      </c>
      <c r="R447" s="366"/>
      <c r="S447" s="2"/>
      <c r="T447" s="2"/>
    </row>
    <row r="448" spans="1:20" s="129" customFormat="1" ht="39.6" x14ac:dyDescent="0.35">
      <c r="A448" s="304">
        <v>3</v>
      </c>
      <c r="B448" s="299" t="s">
        <v>472</v>
      </c>
      <c r="C448" s="304" t="s">
        <v>398</v>
      </c>
      <c r="D448" s="304" t="s">
        <v>100</v>
      </c>
      <c r="E448" s="299">
        <v>2</v>
      </c>
      <c r="F448" s="299">
        <v>2</v>
      </c>
      <c r="G448" s="299">
        <v>3</v>
      </c>
      <c r="H448" s="299">
        <v>3</v>
      </c>
      <c r="I448" s="299"/>
      <c r="J448" s="305">
        <f t="shared" si="83"/>
        <v>0</v>
      </c>
      <c r="K448" s="305">
        <f t="shared" si="84"/>
        <v>46800</v>
      </c>
      <c r="L448" s="305">
        <f t="shared" si="85"/>
        <v>46800</v>
      </c>
      <c r="M448" s="336"/>
      <c r="N448" s="327"/>
      <c r="O448" s="327"/>
      <c r="P448" s="327"/>
      <c r="Q448" s="366">
        <v>3</v>
      </c>
      <c r="R448" s="366"/>
      <c r="S448" s="2"/>
      <c r="T448" s="2"/>
    </row>
    <row r="449" spans="1:20" s="129" customFormat="1" ht="39.6" x14ac:dyDescent="0.35">
      <c r="A449" s="304">
        <v>4</v>
      </c>
      <c r="B449" s="310" t="s">
        <v>473</v>
      </c>
      <c r="C449" s="304" t="s">
        <v>398</v>
      </c>
      <c r="D449" s="304" t="s">
        <v>100</v>
      </c>
      <c r="E449" s="299">
        <v>2</v>
      </c>
      <c r="F449" s="299">
        <v>2</v>
      </c>
      <c r="G449" s="299">
        <v>3</v>
      </c>
      <c r="H449" s="299">
        <v>3</v>
      </c>
      <c r="I449" s="299"/>
      <c r="J449" s="305">
        <f t="shared" si="83"/>
        <v>0</v>
      </c>
      <c r="K449" s="305">
        <f t="shared" si="84"/>
        <v>46800</v>
      </c>
      <c r="L449" s="305">
        <f t="shared" si="85"/>
        <v>46800</v>
      </c>
      <c r="M449" s="336"/>
      <c r="N449" s="327"/>
      <c r="O449" s="327"/>
      <c r="P449" s="327"/>
      <c r="Q449" s="366">
        <v>3</v>
      </c>
      <c r="R449" s="366"/>
      <c r="S449" s="2"/>
      <c r="T449" s="2"/>
    </row>
    <row r="450" spans="1:20" s="129" customFormat="1" ht="26.4" x14ac:dyDescent="0.35">
      <c r="A450" s="304">
        <v>5</v>
      </c>
      <c r="B450" s="299" t="s">
        <v>474</v>
      </c>
      <c r="C450" s="304" t="s">
        <v>127</v>
      </c>
      <c r="D450" s="304" t="s">
        <v>100</v>
      </c>
      <c r="E450" s="299">
        <v>1</v>
      </c>
      <c r="F450" s="299">
        <v>1</v>
      </c>
      <c r="G450" s="299">
        <v>1.5</v>
      </c>
      <c r="H450" s="299">
        <v>1.5</v>
      </c>
      <c r="I450" s="299"/>
      <c r="J450" s="305">
        <f t="shared" si="83"/>
        <v>0</v>
      </c>
      <c r="K450" s="305">
        <f t="shared" si="84"/>
        <v>16200</v>
      </c>
      <c r="L450" s="305">
        <f t="shared" si="85"/>
        <v>16200</v>
      </c>
      <c r="M450" s="336"/>
      <c r="N450" s="327"/>
      <c r="O450" s="327"/>
      <c r="P450" s="327"/>
      <c r="Q450" s="366">
        <v>1.5</v>
      </c>
      <c r="R450" s="366"/>
      <c r="S450" s="2"/>
      <c r="T450" s="2"/>
    </row>
    <row r="451" spans="1:20" s="129" customFormat="1" ht="26.4" x14ac:dyDescent="0.35">
      <c r="A451" s="304">
        <v>6</v>
      </c>
      <c r="B451" s="299" t="s">
        <v>475</v>
      </c>
      <c r="C451" s="304" t="s">
        <v>127</v>
      </c>
      <c r="D451" s="304" t="s">
        <v>100</v>
      </c>
      <c r="E451" s="299">
        <v>1</v>
      </c>
      <c r="F451" s="299">
        <v>1</v>
      </c>
      <c r="G451" s="299">
        <v>1.5</v>
      </c>
      <c r="H451" s="299">
        <v>1.5</v>
      </c>
      <c r="I451" s="299"/>
      <c r="J451" s="305">
        <f t="shared" si="83"/>
        <v>0</v>
      </c>
      <c r="K451" s="305">
        <f t="shared" si="84"/>
        <v>16200</v>
      </c>
      <c r="L451" s="305">
        <f t="shared" si="85"/>
        <v>16200</v>
      </c>
      <c r="M451" s="336"/>
      <c r="N451" s="327"/>
      <c r="O451" s="327"/>
      <c r="P451" s="327"/>
      <c r="Q451" s="366">
        <v>1.5</v>
      </c>
      <c r="R451" s="366"/>
      <c r="S451" s="2"/>
      <c r="T451" s="2"/>
    </row>
    <row r="452" spans="1:20" s="129" customFormat="1" x14ac:dyDescent="0.35">
      <c r="A452" s="278"/>
      <c r="B452" s="307" t="s">
        <v>192</v>
      </c>
      <c r="C452" s="304"/>
      <c r="D452" s="304"/>
      <c r="E452" s="299"/>
      <c r="F452" s="299"/>
      <c r="G452" s="299"/>
      <c r="H452" s="299"/>
      <c r="I452" s="299"/>
      <c r="J452" s="305">
        <f t="shared" si="83"/>
        <v>0</v>
      </c>
      <c r="K452" s="305">
        <f t="shared" si="84"/>
        <v>0</v>
      </c>
      <c r="L452" s="305">
        <f t="shared" si="85"/>
        <v>0</v>
      </c>
      <c r="M452" s="336"/>
      <c r="N452" s="327"/>
      <c r="O452" s="327"/>
      <c r="P452" s="327"/>
      <c r="Q452" s="366"/>
      <c r="R452" s="366"/>
      <c r="S452" s="2"/>
      <c r="T452" s="2"/>
    </row>
    <row r="453" spans="1:20" s="129" customFormat="1" ht="39.6" x14ac:dyDescent="0.35">
      <c r="A453" s="304">
        <v>1</v>
      </c>
      <c r="B453" s="299" t="s">
        <v>476</v>
      </c>
      <c r="C453" s="304" t="s">
        <v>398</v>
      </c>
      <c r="D453" s="304" t="s">
        <v>100</v>
      </c>
      <c r="E453" s="299">
        <v>2</v>
      </c>
      <c r="F453" s="299">
        <v>4</v>
      </c>
      <c r="G453" s="299">
        <v>3</v>
      </c>
      <c r="H453" s="299">
        <v>3</v>
      </c>
      <c r="I453" s="299"/>
      <c r="J453" s="305">
        <f t="shared" si="83"/>
        <v>0</v>
      </c>
      <c r="K453" s="305">
        <f t="shared" si="84"/>
        <v>93600</v>
      </c>
      <c r="L453" s="305">
        <f t="shared" si="85"/>
        <v>93600</v>
      </c>
      <c r="M453" s="336"/>
      <c r="N453" s="327"/>
      <c r="O453" s="327"/>
      <c r="P453" s="327"/>
      <c r="Q453" s="366">
        <v>9</v>
      </c>
      <c r="R453" s="366"/>
      <c r="S453" s="2"/>
      <c r="T453" s="2"/>
    </row>
    <row r="454" spans="1:20" s="152" customFormat="1" ht="26.4" x14ac:dyDescent="0.25">
      <c r="A454" s="283">
        <v>10</v>
      </c>
      <c r="B454" s="296" t="s">
        <v>63</v>
      </c>
      <c r="C454" s="288"/>
      <c r="D454" s="288"/>
      <c r="E454" s="283"/>
      <c r="F454" s="283"/>
      <c r="G454" s="283"/>
      <c r="H454" s="283"/>
      <c r="I454" s="283"/>
      <c r="J454" s="305">
        <f t="shared" si="83"/>
        <v>0</v>
      </c>
      <c r="K454" s="305">
        <f t="shared" si="84"/>
        <v>0</v>
      </c>
      <c r="L454" s="305">
        <f t="shared" si="85"/>
        <v>0</v>
      </c>
      <c r="M454" s="315"/>
      <c r="N454" s="278"/>
      <c r="O454" s="278"/>
      <c r="P454" s="299"/>
      <c r="Q454" s="330"/>
      <c r="R454" s="330"/>
      <c r="S454" s="138"/>
      <c r="T454" s="138"/>
    </row>
    <row r="455" spans="1:20" s="152" customFormat="1" ht="26.4" x14ac:dyDescent="0.25">
      <c r="A455" s="283" t="s">
        <v>168</v>
      </c>
      <c r="B455" s="296" t="s">
        <v>169</v>
      </c>
      <c r="C455" s="275"/>
      <c r="D455" s="275"/>
      <c r="E455" s="278"/>
      <c r="F455" s="278"/>
      <c r="G455" s="278"/>
      <c r="H455" s="278"/>
      <c r="I455" s="278"/>
      <c r="J455" s="305">
        <f t="shared" si="83"/>
        <v>0</v>
      </c>
      <c r="K455" s="305">
        <f t="shared" si="84"/>
        <v>0</v>
      </c>
      <c r="L455" s="305">
        <f t="shared" si="85"/>
        <v>0</v>
      </c>
      <c r="M455" s="314"/>
      <c r="N455" s="299"/>
      <c r="O455" s="299"/>
      <c r="P455" s="299"/>
      <c r="Q455" s="330"/>
      <c r="R455" s="330"/>
      <c r="S455" s="138"/>
      <c r="T455" s="138"/>
    </row>
    <row r="456" spans="1:20" s="166" customFormat="1" ht="13.2" x14ac:dyDescent="0.25">
      <c r="A456" s="304"/>
      <c r="B456" s="307" t="s">
        <v>6</v>
      </c>
      <c r="C456" s="278"/>
      <c r="D456" s="278"/>
      <c r="E456" s="278"/>
      <c r="F456" s="278"/>
      <c r="G456" s="278"/>
      <c r="H456" s="278"/>
      <c r="I456" s="384"/>
      <c r="J456" s="305">
        <f t="shared" si="83"/>
        <v>0</v>
      </c>
      <c r="K456" s="305">
        <f t="shared" si="84"/>
        <v>0</v>
      </c>
      <c r="L456" s="305">
        <f t="shared" si="85"/>
        <v>0</v>
      </c>
      <c r="M456" s="281"/>
      <c r="N456" s="307"/>
      <c r="O456" s="307"/>
      <c r="P456" s="307"/>
      <c r="Q456" s="367"/>
      <c r="R456" s="367"/>
      <c r="S456" s="144"/>
      <c r="T456" s="144"/>
    </row>
    <row r="457" spans="1:20" s="152" customFormat="1" ht="26.4" x14ac:dyDescent="0.25">
      <c r="A457" s="304">
        <v>1</v>
      </c>
      <c r="B457" s="299" t="s">
        <v>477</v>
      </c>
      <c r="C457" s="693" t="s">
        <v>251</v>
      </c>
      <c r="D457" s="306" t="s">
        <v>478</v>
      </c>
      <c r="E457" s="303">
        <v>2</v>
      </c>
      <c r="F457" s="304">
        <v>2</v>
      </c>
      <c r="G457" s="304">
        <v>3</v>
      </c>
      <c r="H457" s="304">
        <v>3</v>
      </c>
      <c r="I457" s="401"/>
      <c r="J457" s="305">
        <f t="shared" si="83"/>
        <v>0</v>
      </c>
      <c r="K457" s="305">
        <f t="shared" si="84"/>
        <v>46800</v>
      </c>
      <c r="L457" s="305">
        <f t="shared" si="85"/>
        <v>46800</v>
      </c>
      <c r="M457" s="314"/>
      <c r="N457" s="299"/>
      <c r="O457" s="299"/>
      <c r="P457" s="299"/>
      <c r="Q457" s="330">
        <v>3</v>
      </c>
      <c r="R457" s="330"/>
      <c r="S457" s="138"/>
      <c r="T457" s="138"/>
    </row>
    <row r="458" spans="1:20" s="152" customFormat="1" ht="26.4" x14ac:dyDescent="0.25">
      <c r="A458" s="304">
        <v>2</v>
      </c>
      <c r="B458" s="299" t="s">
        <v>252</v>
      </c>
      <c r="C458" s="704"/>
      <c r="D458" s="693" t="s">
        <v>248</v>
      </c>
      <c r="E458" s="303">
        <v>1</v>
      </c>
      <c r="F458" s="304">
        <v>1</v>
      </c>
      <c r="G458" s="304">
        <v>3</v>
      </c>
      <c r="H458" s="304">
        <v>3</v>
      </c>
      <c r="I458" s="401"/>
      <c r="J458" s="305">
        <f t="shared" si="83"/>
        <v>0</v>
      </c>
      <c r="K458" s="305">
        <f t="shared" si="84"/>
        <v>23400</v>
      </c>
      <c r="L458" s="305">
        <f t="shared" si="85"/>
        <v>23400</v>
      </c>
      <c r="M458" s="314"/>
      <c r="N458" s="299"/>
      <c r="O458" s="299"/>
      <c r="P458" s="299"/>
      <c r="Q458" s="330"/>
      <c r="R458" s="330"/>
      <c r="S458" s="138"/>
      <c r="T458" s="138"/>
    </row>
    <row r="459" spans="1:20" s="152" customFormat="1" ht="13.2" x14ac:dyDescent="0.25">
      <c r="A459" s="304">
        <v>3</v>
      </c>
      <c r="B459" s="299" t="s">
        <v>479</v>
      </c>
      <c r="C459" s="694"/>
      <c r="D459" s="694"/>
      <c r="E459" s="303">
        <v>1</v>
      </c>
      <c r="F459" s="304">
        <v>1</v>
      </c>
      <c r="G459" s="304">
        <v>3</v>
      </c>
      <c r="H459" s="304">
        <v>3</v>
      </c>
      <c r="I459" s="401"/>
      <c r="J459" s="305">
        <f t="shared" si="83"/>
        <v>0</v>
      </c>
      <c r="K459" s="305">
        <f t="shared" si="84"/>
        <v>23400</v>
      </c>
      <c r="L459" s="305">
        <f t="shared" si="85"/>
        <v>23400</v>
      </c>
      <c r="M459" s="314"/>
      <c r="N459" s="299"/>
      <c r="O459" s="299"/>
      <c r="P459" s="299"/>
      <c r="Q459" s="330"/>
      <c r="R459" s="330"/>
      <c r="S459" s="138"/>
      <c r="T459" s="138"/>
    </row>
    <row r="460" spans="1:20" s="152" customFormat="1" ht="13.2" x14ac:dyDescent="0.25">
      <c r="A460" s="304"/>
      <c r="B460" s="307" t="s">
        <v>175</v>
      </c>
      <c r="C460" s="303"/>
      <c r="D460" s="306"/>
      <c r="E460" s="303"/>
      <c r="F460" s="304"/>
      <c r="G460" s="304"/>
      <c r="H460" s="304"/>
      <c r="I460" s="401"/>
      <c r="J460" s="305">
        <f t="shared" ref="J460:J474" si="91">E460*I460*4800</f>
        <v>0</v>
      </c>
      <c r="K460" s="305">
        <f t="shared" ref="K460:K474" si="92">F460*H460*4800+F460*9000</f>
        <v>0</v>
      </c>
      <c r="L460" s="305">
        <f t="shared" ref="L460:L474" si="93">J460+K460</f>
        <v>0</v>
      </c>
      <c r="M460" s="314"/>
      <c r="N460" s="299"/>
      <c r="O460" s="299"/>
      <c r="P460" s="299"/>
      <c r="Q460" s="330"/>
      <c r="R460" s="330"/>
      <c r="S460" s="138"/>
      <c r="T460" s="138"/>
    </row>
    <row r="461" spans="1:20" s="152" customFormat="1" ht="26.4" x14ac:dyDescent="0.25">
      <c r="A461" s="304"/>
      <c r="B461" s="299" t="s">
        <v>243</v>
      </c>
      <c r="C461" s="303" t="s">
        <v>251</v>
      </c>
      <c r="D461" s="306" t="s">
        <v>478</v>
      </c>
      <c r="E461" s="303">
        <v>2</v>
      </c>
      <c r="F461" s="304">
        <v>2</v>
      </c>
      <c r="G461" s="304">
        <v>3</v>
      </c>
      <c r="H461" s="304">
        <v>3</v>
      </c>
      <c r="I461" s="401"/>
      <c r="J461" s="305">
        <f t="shared" si="91"/>
        <v>0</v>
      </c>
      <c r="K461" s="305">
        <f t="shared" si="92"/>
        <v>46800</v>
      </c>
      <c r="L461" s="305">
        <f t="shared" si="93"/>
        <v>46800</v>
      </c>
      <c r="M461" s="314"/>
      <c r="N461" s="299"/>
      <c r="O461" s="299"/>
      <c r="P461" s="299"/>
      <c r="Q461" s="330">
        <v>3</v>
      </c>
      <c r="R461" s="330"/>
      <c r="S461" s="138"/>
      <c r="T461" s="138"/>
    </row>
    <row r="462" spans="1:20" s="152" customFormat="1" ht="13.2" x14ac:dyDescent="0.25">
      <c r="A462" s="278"/>
      <c r="B462" s="307" t="s">
        <v>177</v>
      </c>
      <c r="C462" s="278"/>
      <c r="D462" s="278"/>
      <c r="E462" s="278"/>
      <c r="F462" s="278"/>
      <c r="G462" s="278"/>
      <c r="H462" s="278"/>
      <c r="I462" s="384"/>
      <c r="J462" s="305">
        <f t="shared" si="91"/>
        <v>0</v>
      </c>
      <c r="K462" s="305">
        <f t="shared" si="92"/>
        <v>0</v>
      </c>
      <c r="L462" s="305">
        <f t="shared" si="93"/>
        <v>0</v>
      </c>
      <c r="M462" s="281"/>
      <c r="N462" s="307"/>
      <c r="O462" s="307"/>
      <c r="P462" s="299"/>
      <c r="Q462" s="330"/>
      <c r="R462" s="330"/>
      <c r="S462" s="138"/>
      <c r="T462" s="138"/>
    </row>
    <row r="463" spans="1:20" s="152" customFormat="1" ht="23.25" customHeight="1" x14ac:dyDescent="0.25">
      <c r="A463" s="304">
        <v>1</v>
      </c>
      <c r="B463" s="334" t="s">
        <v>244</v>
      </c>
      <c r="C463" s="704" t="s">
        <v>251</v>
      </c>
      <c r="D463" s="304" t="s">
        <v>478</v>
      </c>
      <c r="E463" s="303">
        <v>2</v>
      </c>
      <c r="F463" s="309">
        <v>2</v>
      </c>
      <c r="G463" s="309">
        <v>3</v>
      </c>
      <c r="H463" s="309">
        <v>3</v>
      </c>
      <c r="I463" s="405"/>
      <c r="J463" s="305">
        <f t="shared" si="91"/>
        <v>0</v>
      </c>
      <c r="K463" s="305">
        <f t="shared" si="92"/>
        <v>46800</v>
      </c>
      <c r="L463" s="305">
        <f t="shared" si="93"/>
        <v>46800</v>
      </c>
      <c r="M463" s="342"/>
      <c r="N463" s="304"/>
      <c r="O463" s="304"/>
      <c r="P463" s="299"/>
      <c r="Q463" s="330">
        <v>3</v>
      </c>
      <c r="R463" s="330"/>
      <c r="S463" s="138"/>
      <c r="T463" s="138"/>
    </row>
    <row r="464" spans="1:20" s="152" customFormat="1" ht="26.4" x14ac:dyDescent="0.25">
      <c r="A464" s="304">
        <v>2</v>
      </c>
      <c r="B464" s="350" t="s">
        <v>480</v>
      </c>
      <c r="C464" s="704"/>
      <c r="D464" s="306" t="s">
        <v>248</v>
      </c>
      <c r="E464" s="303"/>
      <c r="F464" s="309"/>
      <c r="G464" s="309"/>
      <c r="H464" s="309"/>
      <c r="I464" s="405"/>
      <c r="J464" s="305">
        <f t="shared" si="91"/>
        <v>0</v>
      </c>
      <c r="K464" s="305">
        <f t="shared" si="92"/>
        <v>0</v>
      </c>
      <c r="L464" s="305">
        <f t="shared" si="93"/>
        <v>0</v>
      </c>
      <c r="M464" s="342"/>
      <c r="N464" s="304"/>
      <c r="O464" s="304"/>
      <c r="P464" s="299"/>
      <c r="Q464" s="330"/>
      <c r="R464" s="330"/>
      <c r="S464" s="138"/>
      <c r="T464" s="138"/>
    </row>
    <row r="465" spans="1:22" s="152" customFormat="1" ht="13.2" x14ac:dyDescent="0.25">
      <c r="A465" s="304"/>
      <c r="B465" s="307" t="s">
        <v>192</v>
      </c>
      <c r="C465" s="278"/>
      <c r="D465" s="278"/>
      <c r="E465" s="278"/>
      <c r="F465" s="278"/>
      <c r="G465" s="278"/>
      <c r="H465" s="278"/>
      <c r="I465" s="384"/>
      <c r="J465" s="305">
        <f t="shared" si="91"/>
        <v>0</v>
      </c>
      <c r="K465" s="305">
        <f t="shared" si="92"/>
        <v>0</v>
      </c>
      <c r="L465" s="305">
        <f t="shared" si="93"/>
        <v>0</v>
      </c>
      <c r="M465" s="281"/>
      <c r="N465" s="307"/>
      <c r="O465" s="307"/>
      <c r="P465" s="299"/>
      <c r="Q465" s="330"/>
      <c r="R465" s="330"/>
      <c r="S465" s="138"/>
      <c r="T465" s="138"/>
    </row>
    <row r="466" spans="1:22" s="152" customFormat="1" ht="13.2" x14ac:dyDescent="0.25">
      <c r="A466" s="304">
        <v>1</v>
      </c>
      <c r="B466" s="330" t="s">
        <v>481</v>
      </c>
      <c r="C466" s="704" t="s">
        <v>251</v>
      </c>
      <c r="D466" s="693" t="s">
        <v>248</v>
      </c>
      <c r="E466" s="303">
        <v>1</v>
      </c>
      <c r="F466" s="349">
        <v>1</v>
      </c>
      <c r="G466" s="349">
        <v>3</v>
      </c>
      <c r="H466" s="349">
        <v>3</v>
      </c>
      <c r="I466" s="379"/>
      <c r="J466" s="305">
        <f t="shared" si="91"/>
        <v>0</v>
      </c>
      <c r="K466" s="305">
        <f t="shared" si="92"/>
        <v>23400</v>
      </c>
      <c r="L466" s="305">
        <f t="shared" si="93"/>
        <v>23400</v>
      </c>
      <c r="M466" s="342"/>
      <c r="N466" s="304"/>
      <c r="O466" s="304"/>
      <c r="P466" s="299"/>
      <c r="Q466" s="330"/>
      <c r="R466" s="330"/>
      <c r="S466" s="138"/>
      <c r="T466" s="138"/>
    </row>
    <row r="467" spans="1:22" s="152" customFormat="1" ht="18.75" customHeight="1" x14ac:dyDescent="0.25">
      <c r="A467" s="304">
        <v>2</v>
      </c>
      <c r="B467" s="368" t="s">
        <v>482</v>
      </c>
      <c r="C467" s="704"/>
      <c r="D467" s="694"/>
      <c r="E467" s="303">
        <v>1</v>
      </c>
      <c r="F467" s="369">
        <v>1</v>
      </c>
      <c r="G467" s="349">
        <v>3</v>
      </c>
      <c r="H467" s="349">
        <v>3</v>
      </c>
      <c r="I467" s="379"/>
      <c r="J467" s="305">
        <f t="shared" si="91"/>
        <v>0</v>
      </c>
      <c r="K467" s="305">
        <f t="shared" si="92"/>
        <v>23400</v>
      </c>
      <c r="L467" s="305">
        <f t="shared" si="93"/>
        <v>23400</v>
      </c>
      <c r="M467" s="342"/>
      <c r="N467" s="304"/>
      <c r="O467" s="304"/>
      <c r="P467" s="299"/>
      <c r="Q467" s="330"/>
      <c r="R467" s="330"/>
      <c r="S467" s="138"/>
      <c r="T467" s="138"/>
    </row>
    <row r="468" spans="1:22" s="166" customFormat="1" ht="13.2" x14ac:dyDescent="0.25">
      <c r="A468" s="278"/>
      <c r="B468" s="367" t="s">
        <v>483</v>
      </c>
      <c r="C468" s="299"/>
      <c r="D468" s="299"/>
      <c r="E468" s="371">
        <f>SUM(E456:E467)</f>
        <v>10</v>
      </c>
      <c r="F468" s="370">
        <f>SUM(F456:F467)</f>
        <v>10</v>
      </c>
      <c r="G468" s="370"/>
      <c r="H468" s="371"/>
      <c r="I468" s="386"/>
      <c r="J468" s="305">
        <f t="shared" si="91"/>
        <v>0</v>
      </c>
      <c r="K468" s="305"/>
      <c r="L468" s="305">
        <f t="shared" si="93"/>
        <v>0</v>
      </c>
      <c r="M468" s="315"/>
      <c r="N468" s="278"/>
      <c r="O468" s="278"/>
      <c r="P468" s="307"/>
      <c r="Q468" s="367"/>
      <c r="R468" s="367"/>
      <c r="S468" s="144"/>
      <c r="T468" s="144"/>
    </row>
    <row r="469" spans="1:22" s="152" customFormat="1" ht="26.4" x14ac:dyDescent="0.25">
      <c r="A469" s="278" t="s">
        <v>101</v>
      </c>
      <c r="B469" s="307" t="s">
        <v>179</v>
      </c>
      <c r="C469" s="304"/>
      <c r="D469" s="304"/>
      <c r="E469" s="299"/>
      <c r="F469" s="304"/>
      <c r="G469" s="304"/>
      <c r="H469" s="299"/>
      <c r="I469" s="299"/>
      <c r="J469" s="305">
        <f t="shared" si="91"/>
        <v>0</v>
      </c>
      <c r="K469" s="305">
        <f t="shared" si="92"/>
        <v>0</v>
      </c>
      <c r="L469" s="305">
        <f t="shared" si="93"/>
        <v>0</v>
      </c>
      <c r="M469" s="314"/>
      <c r="N469" s="299"/>
      <c r="O469" s="299"/>
      <c r="P469" s="299"/>
      <c r="Q469" s="330"/>
      <c r="R469" s="330"/>
      <c r="S469" s="138"/>
      <c r="T469" s="138"/>
    </row>
    <row r="470" spans="1:22" s="152" customFormat="1" ht="13.2" x14ac:dyDescent="0.25">
      <c r="A470" s="278"/>
      <c r="B470" s="307" t="s">
        <v>484</v>
      </c>
      <c r="C470" s="304"/>
      <c r="D470" s="304"/>
      <c r="E470" s="299"/>
      <c r="F470" s="304"/>
      <c r="G470" s="304"/>
      <c r="H470" s="299"/>
      <c r="I470" s="299"/>
      <c r="J470" s="305">
        <f t="shared" si="91"/>
        <v>0</v>
      </c>
      <c r="K470" s="305">
        <f t="shared" si="92"/>
        <v>0</v>
      </c>
      <c r="L470" s="305">
        <f t="shared" si="93"/>
        <v>0</v>
      </c>
      <c r="M470" s="314"/>
      <c r="N470" s="299"/>
      <c r="O470" s="299"/>
      <c r="P470" s="299"/>
      <c r="Q470" s="330"/>
      <c r="R470" s="330"/>
      <c r="S470" s="138"/>
      <c r="T470" s="138"/>
    </row>
    <row r="471" spans="1:22" s="152" customFormat="1" ht="13.2" x14ac:dyDescent="0.25">
      <c r="A471" s="304"/>
      <c r="B471" s="406" t="s">
        <v>4</v>
      </c>
      <c r="C471" s="693" t="s">
        <v>485</v>
      </c>
      <c r="D471" s="693" t="s">
        <v>63</v>
      </c>
      <c r="E471" s="299"/>
      <c r="F471" s="304"/>
      <c r="G471" s="299"/>
      <c r="H471" s="299"/>
      <c r="I471" s="299"/>
      <c r="J471" s="305">
        <f t="shared" si="91"/>
        <v>0</v>
      </c>
      <c r="K471" s="305">
        <f t="shared" si="92"/>
        <v>0</v>
      </c>
      <c r="L471" s="305">
        <f t="shared" si="93"/>
        <v>0</v>
      </c>
      <c r="M471" s="314"/>
      <c r="N471" s="299"/>
      <c r="O471" s="299"/>
      <c r="P471" s="299"/>
      <c r="Q471" s="330"/>
      <c r="R471" s="330"/>
      <c r="S471" s="138"/>
      <c r="T471" s="138"/>
    </row>
    <row r="472" spans="1:22" s="152" customFormat="1" ht="13.2" x14ac:dyDescent="0.25">
      <c r="A472" s="304"/>
      <c r="B472" s="362" t="s">
        <v>486</v>
      </c>
      <c r="C472" s="704"/>
      <c r="D472" s="704"/>
      <c r="E472" s="379">
        <v>2</v>
      </c>
      <c r="F472" s="304">
        <v>2</v>
      </c>
      <c r="G472" s="299">
        <v>3</v>
      </c>
      <c r="H472" s="299">
        <v>2</v>
      </c>
      <c r="I472" s="299">
        <v>1</v>
      </c>
      <c r="J472" s="305">
        <f t="shared" si="91"/>
        <v>9600</v>
      </c>
      <c r="K472" s="305">
        <f t="shared" si="92"/>
        <v>37200</v>
      </c>
      <c r="L472" s="305">
        <f t="shared" si="93"/>
        <v>46800</v>
      </c>
      <c r="M472" s="314"/>
      <c r="N472" s="299"/>
      <c r="O472" s="299"/>
      <c r="P472" s="299"/>
      <c r="Q472" s="330">
        <v>2</v>
      </c>
      <c r="R472" s="330">
        <v>1</v>
      </c>
      <c r="S472" s="138"/>
      <c r="T472" s="138"/>
    </row>
    <row r="473" spans="1:22" s="152" customFormat="1" ht="13.2" x14ac:dyDescent="0.25">
      <c r="A473" s="304"/>
      <c r="B473" s="406" t="s">
        <v>7</v>
      </c>
      <c r="C473" s="704"/>
      <c r="D473" s="704"/>
      <c r="E473" s="407"/>
      <c r="F473" s="304"/>
      <c r="G473" s="299"/>
      <c r="H473" s="299"/>
      <c r="I473" s="299"/>
      <c r="J473" s="305">
        <f t="shared" si="91"/>
        <v>0</v>
      </c>
      <c r="K473" s="305">
        <f t="shared" si="92"/>
        <v>0</v>
      </c>
      <c r="L473" s="305">
        <f t="shared" si="93"/>
        <v>0</v>
      </c>
      <c r="M473" s="318"/>
      <c r="N473" s="299"/>
      <c r="O473" s="299"/>
      <c r="P473" s="299"/>
      <c r="Q473" s="330"/>
      <c r="R473" s="330"/>
      <c r="S473" s="138"/>
      <c r="T473" s="138"/>
    </row>
    <row r="474" spans="1:22" s="152" customFormat="1" ht="13.2" x14ac:dyDescent="0.25">
      <c r="A474" s="304"/>
      <c r="B474" s="346" t="s">
        <v>487</v>
      </c>
      <c r="C474" s="694"/>
      <c r="D474" s="694"/>
      <c r="E474" s="386">
        <v>2</v>
      </c>
      <c r="F474" s="304">
        <v>2</v>
      </c>
      <c r="G474" s="299">
        <v>3</v>
      </c>
      <c r="H474" s="299">
        <v>2</v>
      </c>
      <c r="I474" s="299">
        <v>1</v>
      </c>
      <c r="J474" s="305">
        <f t="shared" si="91"/>
        <v>9600</v>
      </c>
      <c r="K474" s="305">
        <f t="shared" si="92"/>
        <v>37200</v>
      </c>
      <c r="L474" s="305">
        <f t="shared" si="93"/>
        <v>46800</v>
      </c>
      <c r="M474" s="314"/>
      <c r="N474" s="299"/>
      <c r="O474" s="299"/>
      <c r="P474" s="299"/>
      <c r="Q474" s="330">
        <v>2</v>
      </c>
      <c r="R474" s="330">
        <v>1</v>
      </c>
      <c r="S474" s="138"/>
      <c r="T474" s="138"/>
    </row>
    <row r="475" spans="1:22" s="134" customFormat="1" ht="26.4" x14ac:dyDescent="0.25">
      <c r="A475" s="283">
        <v>34</v>
      </c>
      <c r="B475" s="283" t="s">
        <v>488</v>
      </c>
      <c r="C475" s="288" t="s">
        <v>163</v>
      </c>
      <c r="D475" s="288"/>
      <c r="E475" s="283"/>
      <c r="F475" s="283"/>
      <c r="G475" s="283"/>
      <c r="H475" s="283"/>
      <c r="I475" s="283"/>
      <c r="J475" s="289"/>
      <c r="K475" s="289"/>
      <c r="L475" s="283"/>
      <c r="M475" s="315"/>
      <c r="N475" s="278"/>
      <c r="O475" s="278"/>
      <c r="P475" s="316"/>
      <c r="Q475" s="316"/>
      <c r="R475" s="316"/>
      <c r="S475" s="133"/>
      <c r="T475" s="133"/>
      <c r="U475" s="3"/>
      <c r="V475" s="3"/>
    </row>
    <row r="476" spans="1:22" s="139" customFormat="1" ht="26.4" x14ac:dyDescent="0.3">
      <c r="A476" s="283" t="s">
        <v>168</v>
      </c>
      <c r="B476" s="296" t="s">
        <v>169</v>
      </c>
      <c r="C476" s="275"/>
      <c r="D476" s="275"/>
      <c r="E476" s="278"/>
      <c r="F476" s="278"/>
      <c r="G476" s="278"/>
      <c r="H476" s="278"/>
      <c r="I476" s="278"/>
      <c r="J476" s="297"/>
      <c r="K476" s="298"/>
      <c r="L476" s="298"/>
      <c r="M476" s="314"/>
      <c r="N476" s="299"/>
      <c r="O476" s="299"/>
      <c r="P476" s="317"/>
      <c r="Q476" s="317"/>
      <c r="R476" s="317"/>
      <c r="S476" s="146"/>
      <c r="T476" s="146"/>
      <c r="U476" s="4"/>
      <c r="V476" s="4"/>
    </row>
    <row r="477" spans="1:22" s="139" customFormat="1" ht="15.6" x14ac:dyDescent="0.3">
      <c r="A477" s="283"/>
      <c r="B477" s="296" t="s">
        <v>4</v>
      </c>
      <c r="C477" s="275"/>
      <c r="D477" s="275"/>
      <c r="E477" s="278">
        <f>SUM(E478:E493)</f>
        <v>16</v>
      </c>
      <c r="F477" s="278">
        <f t="shared" ref="F477:L477" si="94">SUM(F478:F493)</f>
        <v>25</v>
      </c>
      <c r="G477" s="278">
        <f t="shared" si="94"/>
        <v>72</v>
      </c>
      <c r="H477" s="278">
        <f t="shared" si="94"/>
        <v>45</v>
      </c>
      <c r="I477" s="278">
        <f t="shared" si="94"/>
        <v>27</v>
      </c>
      <c r="J477" s="278">
        <f t="shared" si="94"/>
        <v>129600</v>
      </c>
      <c r="K477" s="278">
        <f t="shared" si="94"/>
        <v>541800</v>
      </c>
      <c r="L477" s="278">
        <f t="shared" si="94"/>
        <v>671400</v>
      </c>
      <c r="M477" s="314"/>
      <c r="N477" s="299"/>
      <c r="O477" s="299"/>
      <c r="P477" s="317"/>
      <c r="Q477" s="319">
        <f>SUM(Q478:Q493)</f>
        <v>21</v>
      </c>
      <c r="R477" s="317"/>
      <c r="S477" s="146"/>
      <c r="T477" s="146"/>
      <c r="U477" s="4"/>
      <c r="V477" s="4"/>
    </row>
    <row r="478" spans="1:22" s="139" customFormat="1" ht="26.4" x14ac:dyDescent="0.3">
      <c r="A478" s="309">
        <v>1</v>
      </c>
      <c r="B478" s="302" t="s">
        <v>489</v>
      </c>
      <c r="C478" s="304" t="s">
        <v>247</v>
      </c>
      <c r="D478" s="304" t="s">
        <v>490</v>
      </c>
      <c r="E478" s="304">
        <v>1</v>
      </c>
      <c r="F478" s="304">
        <v>1</v>
      </c>
      <c r="G478" s="304">
        <v>3</v>
      </c>
      <c r="H478" s="304">
        <v>3</v>
      </c>
      <c r="I478" s="385"/>
      <c r="J478" s="305">
        <f t="shared" ref="J478:J530" si="95">E478*I478*4800</f>
        <v>0</v>
      </c>
      <c r="K478" s="305">
        <f t="shared" ref="K478:K530" si="96">F478*H478*4800+F478*9000</f>
        <v>23400</v>
      </c>
      <c r="L478" s="305">
        <f t="shared" ref="L478:L530" si="97">J478+K478</f>
        <v>23400</v>
      </c>
      <c r="M478" s="314"/>
      <c r="N478" s="299"/>
      <c r="O478" s="299"/>
      <c r="P478" s="317"/>
      <c r="Q478" s="317"/>
      <c r="R478" s="317"/>
      <c r="S478" s="146"/>
      <c r="T478" s="146"/>
      <c r="U478" s="4"/>
      <c r="V478" s="4"/>
    </row>
    <row r="479" spans="1:22" s="139" customFormat="1" ht="39.6" x14ac:dyDescent="0.3">
      <c r="A479" s="304">
        <v>2</v>
      </c>
      <c r="B479" s="334" t="s">
        <v>491</v>
      </c>
      <c r="C479" s="304" t="s">
        <v>247</v>
      </c>
      <c r="D479" s="304" t="s">
        <v>490</v>
      </c>
      <c r="E479" s="304">
        <v>1</v>
      </c>
      <c r="F479" s="304">
        <v>1</v>
      </c>
      <c r="G479" s="304">
        <v>3</v>
      </c>
      <c r="H479" s="304">
        <v>3</v>
      </c>
      <c r="I479" s="385"/>
      <c r="J479" s="305">
        <f t="shared" si="95"/>
        <v>0</v>
      </c>
      <c r="K479" s="305">
        <f t="shared" si="96"/>
        <v>23400</v>
      </c>
      <c r="L479" s="305">
        <f t="shared" si="97"/>
        <v>23400</v>
      </c>
      <c r="M479" s="314"/>
      <c r="N479" s="299"/>
      <c r="O479" s="299"/>
      <c r="P479" s="317"/>
      <c r="Q479" s="317"/>
      <c r="R479" s="317"/>
      <c r="S479" s="146"/>
      <c r="T479" s="146"/>
      <c r="U479" s="4"/>
      <c r="V479" s="4"/>
    </row>
    <row r="480" spans="1:22" s="139" customFormat="1" ht="26.4" x14ac:dyDescent="0.3">
      <c r="A480" s="309">
        <v>3</v>
      </c>
      <c r="B480" s="299" t="s">
        <v>492</v>
      </c>
      <c r="C480" s="304" t="s">
        <v>247</v>
      </c>
      <c r="D480" s="304" t="s">
        <v>490</v>
      </c>
      <c r="E480" s="303">
        <v>1</v>
      </c>
      <c r="F480" s="303">
        <v>1</v>
      </c>
      <c r="G480" s="303">
        <v>3</v>
      </c>
      <c r="H480" s="303">
        <v>3</v>
      </c>
      <c r="I480" s="376"/>
      <c r="J480" s="305">
        <f t="shared" si="95"/>
        <v>0</v>
      </c>
      <c r="K480" s="305">
        <f t="shared" si="96"/>
        <v>23400</v>
      </c>
      <c r="L480" s="305">
        <f t="shared" si="97"/>
        <v>23400</v>
      </c>
      <c r="M480" s="318"/>
      <c r="N480" s="299"/>
      <c r="O480" s="299"/>
      <c r="P480" s="317"/>
      <c r="Q480" s="317"/>
      <c r="R480" s="317"/>
      <c r="S480" s="146"/>
      <c r="T480" s="146"/>
      <c r="U480" s="4"/>
      <c r="V480" s="4"/>
    </row>
    <row r="481" spans="1:22" s="139" customFormat="1" ht="26.4" x14ac:dyDescent="0.3">
      <c r="A481" s="304">
        <v>4</v>
      </c>
      <c r="B481" s="299" t="s">
        <v>493</v>
      </c>
      <c r="C481" s="304" t="s">
        <v>247</v>
      </c>
      <c r="D481" s="304" t="s">
        <v>490</v>
      </c>
      <c r="E481" s="303">
        <v>1</v>
      </c>
      <c r="F481" s="303">
        <v>1</v>
      </c>
      <c r="G481" s="303">
        <v>3</v>
      </c>
      <c r="H481" s="303">
        <v>3</v>
      </c>
      <c r="I481" s="376"/>
      <c r="J481" s="305">
        <f t="shared" si="95"/>
        <v>0</v>
      </c>
      <c r="K481" s="305">
        <f t="shared" si="96"/>
        <v>23400</v>
      </c>
      <c r="L481" s="305">
        <f t="shared" si="97"/>
        <v>23400</v>
      </c>
      <c r="M481" s="318"/>
      <c r="N481" s="299"/>
      <c r="O481" s="299"/>
      <c r="P481" s="317"/>
      <c r="Q481" s="317"/>
      <c r="R481" s="317"/>
      <c r="S481" s="146"/>
      <c r="T481" s="146"/>
      <c r="U481" s="4"/>
      <c r="V481" s="4"/>
    </row>
    <row r="482" spans="1:22" s="139" customFormat="1" ht="26.4" x14ac:dyDescent="0.3">
      <c r="A482" s="309">
        <v>5</v>
      </c>
      <c r="B482" s="334" t="s">
        <v>494</v>
      </c>
      <c r="C482" s="304" t="s">
        <v>495</v>
      </c>
      <c r="D482" s="304" t="s">
        <v>490</v>
      </c>
      <c r="E482" s="304">
        <v>1</v>
      </c>
      <c r="F482" s="304">
        <v>2</v>
      </c>
      <c r="G482" s="304">
        <v>3</v>
      </c>
      <c r="H482" s="304">
        <v>1</v>
      </c>
      <c r="I482" s="385">
        <v>2</v>
      </c>
      <c r="J482" s="305">
        <f t="shared" si="95"/>
        <v>9600</v>
      </c>
      <c r="K482" s="305">
        <f t="shared" si="96"/>
        <v>27600</v>
      </c>
      <c r="L482" s="305">
        <f t="shared" si="97"/>
        <v>37200</v>
      </c>
      <c r="M482" s="314"/>
      <c r="N482" s="299"/>
      <c r="O482" s="299"/>
      <c r="P482" s="317"/>
      <c r="Q482" s="317">
        <v>1</v>
      </c>
      <c r="R482" s="317"/>
      <c r="S482" s="146"/>
      <c r="T482" s="146"/>
      <c r="U482" s="4"/>
      <c r="V482" s="4"/>
    </row>
    <row r="483" spans="1:22" s="139" customFormat="1" ht="52.8" x14ac:dyDescent="0.3">
      <c r="A483" s="304">
        <v>6</v>
      </c>
      <c r="B483" s="334" t="s">
        <v>496</v>
      </c>
      <c r="C483" s="304" t="s">
        <v>247</v>
      </c>
      <c r="D483" s="304" t="s">
        <v>490</v>
      </c>
      <c r="E483" s="304">
        <v>1</v>
      </c>
      <c r="F483" s="304">
        <v>2</v>
      </c>
      <c r="G483" s="304">
        <v>3</v>
      </c>
      <c r="H483" s="304">
        <v>1</v>
      </c>
      <c r="I483" s="385">
        <v>2</v>
      </c>
      <c r="J483" s="305">
        <f t="shared" si="95"/>
        <v>9600</v>
      </c>
      <c r="K483" s="305">
        <f t="shared" si="96"/>
        <v>27600</v>
      </c>
      <c r="L483" s="305">
        <f t="shared" si="97"/>
        <v>37200</v>
      </c>
      <c r="M483" s="314"/>
      <c r="N483" s="299"/>
      <c r="O483" s="299"/>
      <c r="P483" s="317"/>
      <c r="Q483" s="317">
        <v>1</v>
      </c>
      <c r="R483" s="317"/>
      <c r="S483" s="146"/>
      <c r="T483" s="146"/>
      <c r="U483" s="4"/>
      <c r="V483" s="4"/>
    </row>
    <row r="484" spans="1:22" s="139" customFormat="1" ht="39.6" x14ac:dyDescent="0.3">
      <c r="A484" s="309">
        <v>7</v>
      </c>
      <c r="B484" s="299" t="s">
        <v>497</v>
      </c>
      <c r="C484" s="304" t="s">
        <v>247</v>
      </c>
      <c r="D484" s="304" t="s">
        <v>490</v>
      </c>
      <c r="E484" s="303">
        <v>1</v>
      </c>
      <c r="F484" s="303">
        <v>2</v>
      </c>
      <c r="G484" s="303">
        <v>3</v>
      </c>
      <c r="H484" s="304">
        <v>1</v>
      </c>
      <c r="I484" s="385">
        <v>2</v>
      </c>
      <c r="J484" s="305">
        <f t="shared" si="95"/>
        <v>9600</v>
      </c>
      <c r="K484" s="305">
        <f t="shared" si="96"/>
        <v>27600</v>
      </c>
      <c r="L484" s="305">
        <f t="shared" si="97"/>
        <v>37200</v>
      </c>
      <c r="M484" s="318"/>
      <c r="N484" s="299"/>
      <c r="O484" s="299"/>
      <c r="P484" s="317"/>
      <c r="Q484" s="317">
        <v>1</v>
      </c>
      <c r="R484" s="317"/>
      <c r="S484" s="146"/>
      <c r="T484" s="146"/>
      <c r="U484" s="4"/>
      <c r="V484" s="4"/>
    </row>
    <row r="485" spans="1:22" s="139" customFormat="1" ht="26.4" x14ac:dyDescent="0.3">
      <c r="A485" s="304">
        <v>8</v>
      </c>
      <c r="B485" s="299" t="s">
        <v>498</v>
      </c>
      <c r="C485" s="304" t="s">
        <v>247</v>
      </c>
      <c r="D485" s="304" t="s">
        <v>490</v>
      </c>
      <c r="E485" s="303">
        <v>1</v>
      </c>
      <c r="F485" s="303">
        <v>1</v>
      </c>
      <c r="G485" s="303">
        <v>3</v>
      </c>
      <c r="H485" s="303">
        <v>3</v>
      </c>
      <c r="I485" s="376"/>
      <c r="J485" s="305">
        <f t="shared" si="95"/>
        <v>0</v>
      </c>
      <c r="K485" s="305">
        <f t="shared" si="96"/>
        <v>23400</v>
      </c>
      <c r="L485" s="305">
        <f t="shared" si="97"/>
        <v>23400</v>
      </c>
      <c r="M485" s="318"/>
      <c r="N485" s="299"/>
      <c r="O485" s="299"/>
      <c r="P485" s="317"/>
      <c r="Q485" s="317"/>
      <c r="R485" s="317"/>
      <c r="S485" s="146"/>
      <c r="T485" s="146"/>
      <c r="U485" s="4"/>
      <c r="V485" s="4"/>
    </row>
    <row r="486" spans="1:22" s="139" customFormat="1" ht="39.6" x14ac:dyDescent="0.3">
      <c r="A486" s="309">
        <v>9</v>
      </c>
      <c r="B486" s="334" t="s">
        <v>499</v>
      </c>
      <c r="C486" s="304" t="s">
        <v>500</v>
      </c>
      <c r="D486" s="304" t="s">
        <v>490</v>
      </c>
      <c r="E486" s="304">
        <v>1</v>
      </c>
      <c r="F486" s="304">
        <v>1</v>
      </c>
      <c r="G486" s="304">
        <v>6</v>
      </c>
      <c r="H486" s="304">
        <v>3</v>
      </c>
      <c r="I486" s="385">
        <v>3</v>
      </c>
      <c r="J486" s="305">
        <f t="shared" si="95"/>
        <v>14400</v>
      </c>
      <c r="K486" s="305">
        <f t="shared" si="96"/>
        <v>23400</v>
      </c>
      <c r="L486" s="305">
        <f t="shared" si="97"/>
        <v>37800</v>
      </c>
      <c r="M486" s="314"/>
      <c r="N486" s="299"/>
      <c r="O486" s="299"/>
      <c r="P486" s="317"/>
      <c r="Q486" s="317"/>
      <c r="R486" s="317"/>
      <c r="S486" s="146"/>
      <c r="T486" s="146"/>
      <c r="U486" s="4"/>
      <c r="V486" s="4"/>
    </row>
    <row r="487" spans="1:22" s="139" customFormat="1" ht="39.6" x14ac:dyDescent="0.3">
      <c r="A487" s="304">
        <v>10</v>
      </c>
      <c r="B487" s="299" t="s">
        <v>501</v>
      </c>
      <c r="C487" s="304" t="s">
        <v>500</v>
      </c>
      <c r="D487" s="304" t="s">
        <v>490</v>
      </c>
      <c r="E487" s="304">
        <v>1</v>
      </c>
      <c r="F487" s="303">
        <v>1</v>
      </c>
      <c r="G487" s="303">
        <v>6</v>
      </c>
      <c r="H487" s="304">
        <v>3</v>
      </c>
      <c r="I487" s="385">
        <v>3</v>
      </c>
      <c r="J487" s="305">
        <f t="shared" si="95"/>
        <v>14400</v>
      </c>
      <c r="K487" s="305">
        <f t="shared" si="96"/>
        <v>23400</v>
      </c>
      <c r="L487" s="305">
        <f t="shared" si="97"/>
        <v>37800</v>
      </c>
      <c r="M487" s="318"/>
      <c r="N487" s="299"/>
      <c r="O487" s="299"/>
      <c r="P487" s="317"/>
      <c r="Q487" s="317"/>
      <c r="R487" s="317"/>
      <c r="S487" s="146"/>
      <c r="T487" s="146"/>
      <c r="U487" s="4"/>
      <c r="V487" s="4"/>
    </row>
    <row r="488" spans="1:22" s="139" customFormat="1" ht="39.6" x14ac:dyDescent="0.3">
      <c r="A488" s="309">
        <v>11</v>
      </c>
      <c r="B488" s="299" t="s">
        <v>502</v>
      </c>
      <c r="C488" s="304" t="s">
        <v>500</v>
      </c>
      <c r="D488" s="304" t="s">
        <v>490</v>
      </c>
      <c r="E488" s="303">
        <v>1</v>
      </c>
      <c r="F488" s="303">
        <v>1</v>
      </c>
      <c r="G488" s="303">
        <v>6</v>
      </c>
      <c r="H488" s="304">
        <v>3</v>
      </c>
      <c r="I488" s="385">
        <v>3</v>
      </c>
      <c r="J488" s="305">
        <f t="shared" si="95"/>
        <v>14400</v>
      </c>
      <c r="K488" s="305">
        <f t="shared" si="96"/>
        <v>23400</v>
      </c>
      <c r="L488" s="305">
        <f t="shared" si="97"/>
        <v>37800</v>
      </c>
      <c r="M488" s="318"/>
      <c r="N488" s="299"/>
      <c r="O488" s="299"/>
      <c r="P488" s="317"/>
      <c r="Q488" s="317"/>
      <c r="R488" s="317"/>
      <c r="S488" s="146"/>
      <c r="T488" s="146"/>
      <c r="U488" s="4"/>
      <c r="V488" s="4"/>
    </row>
    <row r="489" spans="1:22" s="139" customFormat="1" ht="26.4" x14ac:dyDescent="0.3">
      <c r="A489" s="304">
        <v>12</v>
      </c>
      <c r="B489" s="334" t="s">
        <v>503</v>
      </c>
      <c r="C489" s="304" t="s">
        <v>247</v>
      </c>
      <c r="D489" s="304" t="s">
        <v>490</v>
      </c>
      <c r="E489" s="303">
        <v>1</v>
      </c>
      <c r="F489" s="304">
        <v>1</v>
      </c>
      <c r="G489" s="304">
        <v>3</v>
      </c>
      <c r="H489" s="304">
        <v>3</v>
      </c>
      <c r="I489" s="385"/>
      <c r="J489" s="305">
        <f t="shared" si="95"/>
        <v>0</v>
      </c>
      <c r="K489" s="305">
        <f t="shared" si="96"/>
        <v>23400</v>
      </c>
      <c r="L489" s="305">
        <f t="shared" si="97"/>
        <v>23400</v>
      </c>
      <c r="M489" s="314"/>
      <c r="N489" s="299"/>
      <c r="O489" s="299"/>
      <c r="P489" s="317"/>
      <c r="Q489" s="317"/>
      <c r="R489" s="317"/>
      <c r="S489" s="146"/>
      <c r="T489" s="146"/>
      <c r="U489" s="4"/>
      <c r="V489" s="4"/>
    </row>
    <row r="490" spans="1:22" s="139" customFormat="1" ht="26.4" x14ac:dyDescent="0.3">
      <c r="A490" s="309">
        <v>13</v>
      </c>
      <c r="B490" s="334" t="s">
        <v>504</v>
      </c>
      <c r="C490" s="304" t="s">
        <v>505</v>
      </c>
      <c r="D490" s="304" t="s">
        <v>490</v>
      </c>
      <c r="E490" s="304">
        <v>1</v>
      </c>
      <c r="F490" s="304">
        <v>1</v>
      </c>
      <c r="G490" s="304">
        <v>6</v>
      </c>
      <c r="H490" s="304">
        <v>3</v>
      </c>
      <c r="I490" s="385">
        <v>3</v>
      </c>
      <c r="J490" s="305">
        <f t="shared" si="95"/>
        <v>14400</v>
      </c>
      <c r="K490" s="305">
        <f t="shared" si="96"/>
        <v>23400</v>
      </c>
      <c r="L490" s="305">
        <f t="shared" si="97"/>
        <v>37800</v>
      </c>
      <c r="M490" s="314"/>
      <c r="N490" s="299"/>
      <c r="O490" s="299"/>
      <c r="P490" s="317"/>
      <c r="Q490" s="317"/>
      <c r="R490" s="317"/>
      <c r="S490" s="146"/>
      <c r="T490" s="146"/>
      <c r="U490" s="4"/>
      <c r="V490" s="4"/>
    </row>
    <row r="491" spans="1:22" s="139" customFormat="1" ht="26.4" x14ac:dyDescent="0.3">
      <c r="A491" s="304">
        <v>14</v>
      </c>
      <c r="B491" s="299" t="s">
        <v>506</v>
      </c>
      <c r="C491" s="304" t="s">
        <v>247</v>
      </c>
      <c r="D491" s="304" t="s">
        <v>490</v>
      </c>
      <c r="E491" s="304">
        <v>1</v>
      </c>
      <c r="F491" s="303">
        <v>2</v>
      </c>
      <c r="G491" s="303">
        <v>6</v>
      </c>
      <c r="H491" s="304">
        <v>3</v>
      </c>
      <c r="I491" s="385">
        <v>3</v>
      </c>
      <c r="J491" s="305">
        <f t="shared" si="95"/>
        <v>14400</v>
      </c>
      <c r="K491" s="305">
        <f t="shared" si="96"/>
        <v>46800</v>
      </c>
      <c r="L491" s="305">
        <f t="shared" si="97"/>
        <v>61200</v>
      </c>
      <c r="M491" s="318"/>
      <c r="N491" s="299"/>
      <c r="O491" s="299"/>
      <c r="P491" s="317"/>
      <c r="Q491" s="317">
        <v>3</v>
      </c>
      <c r="R491" s="317"/>
      <c r="S491" s="146"/>
      <c r="T491" s="146"/>
      <c r="U491" s="4"/>
      <c r="V491" s="4"/>
    </row>
    <row r="492" spans="1:22" s="139" customFormat="1" ht="26.4" x14ac:dyDescent="0.3">
      <c r="A492" s="309">
        <v>15</v>
      </c>
      <c r="B492" s="299" t="s">
        <v>507</v>
      </c>
      <c r="C492" s="304" t="s">
        <v>247</v>
      </c>
      <c r="D492" s="304" t="s">
        <v>490</v>
      </c>
      <c r="E492" s="303">
        <v>1</v>
      </c>
      <c r="F492" s="303">
        <v>6</v>
      </c>
      <c r="G492" s="303">
        <v>6</v>
      </c>
      <c r="H492" s="304">
        <v>3</v>
      </c>
      <c r="I492" s="385">
        <v>3</v>
      </c>
      <c r="J492" s="305">
        <f t="shared" si="95"/>
        <v>14400</v>
      </c>
      <c r="K492" s="305">
        <f t="shared" si="96"/>
        <v>140400</v>
      </c>
      <c r="L492" s="305">
        <f t="shared" si="97"/>
        <v>154800</v>
      </c>
      <c r="M492" s="318"/>
      <c r="N492" s="299"/>
      <c r="O492" s="299"/>
      <c r="P492" s="317"/>
      <c r="Q492" s="317">
        <v>15</v>
      </c>
      <c r="R492" s="317"/>
      <c r="S492" s="146"/>
      <c r="T492" s="146"/>
      <c r="U492" s="4"/>
      <c r="V492" s="4"/>
    </row>
    <row r="493" spans="1:22" s="139" customFormat="1" ht="26.4" x14ac:dyDescent="0.3">
      <c r="A493" s="304">
        <v>16</v>
      </c>
      <c r="B493" s="299" t="s">
        <v>508</v>
      </c>
      <c r="C493" s="304" t="s">
        <v>247</v>
      </c>
      <c r="D493" s="304" t="s">
        <v>490</v>
      </c>
      <c r="E493" s="303">
        <v>1</v>
      </c>
      <c r="F493" s="303">
        <v>1</v>
      </c>
      <c r="G493" s="303">
        <v>9</v>
      </c>
      <c r="H493" s="303">
        <v>6</v>
      </c>
      <c r="I493" s="408">
        <v>3</v>
      </c>
      <c r="J493" s="305">
        <f t="shared" si="95"/>
        <v>14400</v>
      </c>
      <c r="K493" s="305">
        <f t="shared" si="96"/>
        <v>37800</v>
      </c>
      <c r="L493" s="305">
        <f t="shared" si="97"/>
        <v>52200</v>
      </c>
      <c r="M493" s="318"/>
      <c r="N493" s="299"/>
      <c r="O493" s="299"/>
      <c r="P493" s="317"/>
      <c r="Q493" s="317"/>
      <c r="R493" s="317"/>
      <c r="S493" s="146"/>
      <c r="T493" s="146"/>
      <c r="U493" s="4"/>
      <c r="V493" s="4"/>
    </row>
    <row r="494" spans="1:22" s="145" customFormat="1" ht="15.6" x14ac:dyDescent="0.3">
      <c r="A494" s="278"/>
      <c r="B494" s="307" t="s">
        <v>173</v>
      </c>
      <c r="C494" s="278"/>
      <c r="D494" s="278"/>
      <c r="E494" s="278">
        <f>SUM(E495:E500)</f>
        <v>6</v>
      </c>
      <c r="F494" s="278">
        <f t="shared" ref="F494:L494" si="98">SUM(F495:F500)</f>
        <v>7</v>
      </c>
      <c r="G494" s="278">
        <f t="shared" si="98"/>
        <v>30</v>
      </c>
      <c r="H494" s="278">
        <f t="shared" si="98"/>
        <v>18</v>
      </c>
      <c r="I494" s="278">
        <f t="shared" si="98"/>
        <v>12</v>
      </c>
      <c r="J494" s="278">
        <f t="shared" si="98"/>
        <v>57600</v>
      </c>
      <c r="K494" s="278">
        <f t="shared" si="98"/>
        <v>163800</v>
      </c>
      <c r="L494" s="278">
        <f t="shared" si="98"/>
        <v>221400</v>
      </c>
      <c r="M494" s="281"/>
      <c r="N494" s="307"/>
      <c r="O494" s="307"/>
      <c r="P494" s="319"/>
      <c r="Q494" s="319"/>
      <c r="R494" s="319"/>
      <c r="S494" s="147"/>
      <c r="T494" s="147"/>
      <c r="U494" s="4"/>
      <c r="V494" s="4"/>
    </row>
    <row r="495" spans="1:22" s="139" customFormat="1" ht="39.6" x14ac:dyDescent="0.3">
      <c r="A495" s="304">
        <v>1</v>
      </c>
      <c r="B495" s="299" t="s">
        <v>499</v>
      </c>
      <c r="C495" s="304" t="s">
        <v>500</v>
      </c>
      <c r="D495" s="304" t="s">
        <v>490</v>
      </c>
      <c r="E495" s="304">
        <v>1</v>
      </c>
      <c r="F495" s="303">
        <v>1</v>
      </c>
      <c r="G495" s="303">
        <v>6</v>
      </c>
      <c r="H495" s="304">
        <v>3</v>
      </c>
      <c r="I495" s="385">
        <v>3</v>
      </c>
      <c r="J495" s="305">
        <f t="shared" si="95"/>
        <v>14400</v>
      </c>
      <c r="K495" s="305">
        <f t="shared" si="96"/>
        <v>23400</v>
      </c>
      <c r="L495" s="305">
        <f t="shared" si="97"/>
        <v>37800</v>
      </c>
      <c r="M495" s="318"/>
      <c r="N495" s="299"/>
      <c r="O495" s="299"/>
      <c r="P495" s="317"/>
      <c r="Q495" s="317"/>
      <c r="R495" s="317"/>
      <c r="S495" s="146"/>
      <c r="T495" s="146"/>
      <c r="U495" s="3"/>
      <c r="V495" s="3"/>
    </row>
    <row r="496" spans="1:22" s="139" customFormat="1" ht="26.4" x14ac:dyDescent="0.3">
      <c r="A496" s="304">
        <v>2</v>
      </c>
      <c r="B496" s="334" t="s">
        <v>509</v>
      </c>
      <c r="C496" s="304" t="s">
        <v>247</v>
      </c>
      <c r="D496" s="304" t="s">
        <v>490</v>
      </c>
      <c r="E496" s="304">
        <v>1</v>
      </c>
      <c r="F496" s="304">
        <v>1</v>
      </c>
      <c r="G496" s="304">
        <v>3</v>
      </c>
      <c r="H496" s="304">
        <v>3</v>
      </c>
      <c r="I496" s="385"/>
      <c r="J496" s="305">
        <f t="shared" si="95"/>
        <v>0</v>
      </c>
      <c r="K496" s="305">
        <f t="shared" si="96"/>
        <v>23400</v>
      </c>
      <c r="L496" s="305">
        <f t="shared" si="97"/>
        <v>23400</v>
      </c>
      <c r="M496" s="314"/>
      <c r="N496" s="299"/>
      <c r="O496" s="299"/>
      <c r="P496" s="317"/>
      <c r="Q496" s="317"/>
      <c r="R496" s="317"/>
      <c r="S496" s="146"/>
      <c r="T496" s="146"/>
      <c r="U496" s="3"/>
      <c r="V496" s="3"/>
    </row>
    <row r="497" spans="1:22" s="139" customFormat="1" ht="26.4" x14ac:dyDescent="0.3">
      <c r="A497" s="304">
        <v>3</v>
      </c>
      <c r="B497" s="299" t="s">
        <v>510</v>
      </c>
      <c r="C497" s="304" t="s">
        <v>247</v>
      </c>
      <c r="D497" s="304" t="s">
        <v>490</v>
      </c>
      <c r="E497" s="303">
        <v>1</v>
      </c>
      <c r="F497" s="303">
        <v>1</v>
      </c>
      <c r="G497" s="303">
        <v>3</v>
      </c>
      <c r="H497" s="303">
        <v>3</v>
      </c>
      <c r="I497" s="376"/>
      <c r="J497" s="305">
        <f t="shared" si="95"/>
        <v>0</v>
      </c>
      <c r="K497" s="305">
        <f t="shared" si="96"/>
        <v>23400</v>
      </c>
      <c r="L497" s="305">
        <f t="shared" si="97"/>
        <v>23400</v>
      </c>
      <c r="M497" s="318"/>
      <c r="N497" s="299"/>
      <c r="O497" s="299"/>
      <c r="P497" s="317"/>
      <c r="Q497" s="317"/>
      <c r="R497" s="317"/>
      <c r="S497" s="146"/>
      <c r="T497" s="146"/>
      <c r="U497" s="3"/>
      <c r="V497" s="3"/>
    </row>
    <row r="498" spans="1:22" s="139" customFormat="1" ht="26.4" x14ac:dyDescent="0.3">
      <c r="A498" s="304">
        <v>4</v>
      </c>
      <c r="B498" s="299" t="s">
        <v>511</v>
      </c>
      <c r="C498" s="304" t="s">
        <v>247</v>
      </c>
      <c r="D498" s="304" t="s">
        <v>490</v>
      </c>
      <c r="E498" s="303">
        <v>1</v>
      </c>
      <c r="F498" s="303">
        <v>1</v>
      </c>
      <c r="G498" s="303">
        <v>6</v>
      </c>
      <c r="H498" s="304">
        <v>3</v>
      </c>
      <c r="I498" s="385">
        <v>3</v>
      </c>
      <c r="J498" s="305">
        <f t="shared" si="95"/>
        <v>14400</v>
      </c>
      <c r="K498" s="305">
        <f t="shared" si="96"/>
        <v>23400</v>
      </c>
      <c r="L498" s="305">
        <f t="shared" si="97"/>
        <v>37800</v>
      </c>
      <c r="M498" s="318"/>
      <c r="N498" s="299"/>
      <c r="O498" s="299"/>
      <c r="P498" s="317"/>
      <c r="Q498" s="317"/>
      <c r="R498" s="317"/>
      <c r="S498" s="146"/>
      <c r="T498" s="146"/>
      <c r="U498" s="140"/>
      <c r="V498" s="140"/>
    </row>
    <row r="499" spans="1:22" s="139" customFormat="1" ht="26.4" x14ac:dyDescent="0.3">
      <c r="A499" s="304">
        <v>5</v>
      </c>
      <c r="B499" s="299" t="s">
        <v>506</v>
      </c>
      <c r="C499" s="304" t="s">
        <v>247</v>
      </c>
      <c r="D499" s="304" t="s">
        <v>490</v>
      </c>
      <c r="E499" s="304">
        <v>1</v>
      </c>
      <c r="F499" s="303">
        <v>2</v>
      </c>
      <c r="G499" s="303">
        <v>6</v>
      </c>
      <c r="H499" s="304">
        <v>3</v>
      </c>
      <c r="I499" s="385">
        <v>3</v>
      </c>
      <c r="J499" s="305">
        <f t="shared" si="95"/>
        <v>14400</v>
      </c>
      <c r="K499" s="305">
        <f t="shared" si="96"/>
        <v>46800</v>
      </c>
      <c r="L499" s="305">
        <f t="shared" si="97"/>
        <v>61200</v>
      </c>
      <c r="M499" s="318"/>
      <c r="N499" s="299"/>
      <c r="O499" s="299"/>
      <c r="P499" s="317"/>
      <c r="Q499" s="317">
        <v>3</v>
      </c>
      <c r="R499" s="317"/>
      <c r="S499" s="146"/>
      <c r="T499" s="146"/>
      <c r="U499" s="3"/>
      <c r="V499" s="3"/>
    </row>
    <row r="500" spans="1:22" s="139" customFormat="1" ht="26.4" x14ac:dyDescent="0.3">
      <c r="A500" s="304">
        <v>6</v>
      </c>
      <c r="B500" s="299" t="s">
        <v>507</v>
      </c>
      <c r="C500" s="304" t="s">
        <v>247</v>
      </c>
      <c r="D500" s="304" t="s">
        <v>490</v>
      </c>
      <c r="E500" s="304">
        <v>1</v>
      </c>
      <c r="F500" s="304">
        <v>1</v>
      </c>
      <c r="G500" s="304">
        <v>6</v>
      </c>
      <c r="H500" s="304">
        <v>3</v>
      </c>
      <c r="I500" s="385">
        <v>3</v>
      </c>
      <c r="J500" s="305">
        <f t="shared" si="95"/>
        <v>14400</v>
      </c>
      <c r="K500" s="305">
        <f t="shared" si="96"/>
        <v>23400</v>
      </c>
      <c r="L500" s="305">
        <f t="shared" si="97"/>
        <v>37800</v>
      </c>
      <c r="M500" s="314"/>
      <c r="N500" s="299"/>
      <c r="O500" s="299"/>
      <c r="P500" s="317"/>
      <c r="Q500" s="317"/>
      <c r="R500" s="317"/>
      <c r="S500" s="146"/>
      <c r="T500" s="146"/>
      <c r="U500" s="3"/>
      <c r="V500" s="3"/>
    </row>
    <row r="501" spans="1:22" s="145" customFormat="1" ht="15.6" x14ac:dyDescent="0.3">
      <c r="A501" s="278"/>
      <c r="B501" s="307" t="s">
        <v>175</v>
      </c>
      <c r="C501" s="278"/>
      <c r="D501" s="278"/>
      <c r="E501" s="278">
        <f>SUM(E502:E503)</f>
        <v>2</v>
      </c>
      <c r="F501" s="278">
        <f t="shared" ref="F501:L501" si="99">SUM(F502:F503)</f>
        <v>2</v>
      </c>
      <c r="G501" s="278">
        <f t="shared" si="99"/>
        <v>6</v>
      </c>
      <c r="H501" s="278">
        <f t="shared" si="99"/>
        <v>4</v>
      </c>
      <c r="I501" s="278">
        <f t="shared" si="99"/>
        <v>2</v>
      </c>
      <c r="J501" s="278">
        <f t="shared" si="99"/>
        <v>9600</v>
      </c>
      <c r="K501" s="278">
        <f t="shared" si="99"/>
        <v>37200</v>
      </c>
      <c r="L501" s="278">
        <f t="shared" si="99"/>
        <v>46800</v>
      </c>
      <c r="M501" s="281"/>
      <c r="N501" s="307"/>
      <c r="O501" s="307"/>
      <c r="P501" s="319"/>
      <c r="Q501" s="319"/>
      <c r="R501" s="319"/>
      <c r="S501" s="147"/>
      <c r="T501" s="147"/>
      <c r="U501" s="3"/>
      <c r="V501" s="3"/>
    </row>
    <row r="502" spans="1:22" s="139" customFormat="1" ht="26.4" x14ac:dyDescent="0.3">
      <c r="A502" s="304">
        <v>1</v>
      </c>
      <c r="B502" s="299" t="s">
        <v>510</v>
      </c>
      <c r="C502" s="304" t="s">
        <v>247</v>
      </c>
      <c r="D502" s="304" t="s">
        <v>490</v>
      </c>
      <c r="E502" s="303">
        <v>1</v>
      </c>
      <c r="F502" s="303">
        <v>1</v>
      </c>
      <c r="G502" s="303">
        <v>3</v>
      </c>
      <c r="H502" s="303">
        <v>2</v>
      </c>
      <c r="I502" s="408">
        <v>1</v>
      </c>
      <c r="J502" s="305">
        <f t="shared" si="95"/>
        <v>4800</v>
      </c>
      <c r="K502" s="305">
        <f t="shared" si="96"/>
        <v>18600</v>
      </c>
      <c r="L502" s="305">
        <f t="shared" si="97"/>
        <v>23400</v>
      </c>
      <c r="M502" s="318"/>
      <c r="N502" s="299"/>
      <c r="O502" s="299"/>
      <c r="P502" s="317"/>
      <c r="Q502" s="317"/>
      <c r="R502" s="317"/>
      <c r="S502" s="146"/>
      <c r="T502" s="146"/>
      <c r="U502" s="3"/>
      <c r="V502" s="3"/>
    </row>
    <row r="503" spans="1:22" s="139" customFormat="1" ht="26.4" x14ac:dyDescent="0.3">
      <c r="A503" s="304">
        <v>2</v>
      </c>
      <c r="B503" s="299" t="s">
        <v>512</v>
      </c>
      <c r="C503" s="304" t="s">
        <v>513</v>
      </c>
      <c r="D503" s="301" t="s">
        <v>490</v>
      </c>
      <c r="E503" s="303">
        <v>1</v>
      </c>
      <c r="F503" s="303">
        <v>1</v>
      </c>
      <c r="G503" s="303">
        <v>3</v>
      </c>
      <c r="H503" s="303">
        <v>2</v>
      </c>
      <c r="I503" s="408">
        <v>1</v>
      </c>
      <c r="J503" s="305">
        <f t="shared" si="95"/>
        <v>4800</v>
      </c>
      <c r="K503" s="305">
        <f t="shared" si="96"/>
        <v>18600</v>
      </c>
      <c r="L503" s="305">
        <f t="shared" si="97"/>
        <v>23400</v>
      </c>
      <c r="M503" s="318"/>
      <c r="N503" s="299"/>
      <c r="O503" s="299"/>
      <c r="P503" s="317"/>
      <c r="Q503" s="317"/>
      <c r="R503" s="317"/>
      <c r="S503" s="146"/>
      <c r="T503" s="146"/>
      <c r="U503" s="3"/>
      <c r="V503" s="3"/>
    </row>
    <row r="504" spans="1:22" s="145" customFormat="1" ht="15.6" x14ac:dyDescent="0.3">
      <c r="A504" s="278"/>
      <c r="B504" s="307" t="s">
        <v>177</v>
      </c>
      <c r="C504" s="278"/>
      <c r="D504" s="278"/>
      <c r="E504" s="278">
        <f>SUM(E505:E507)</f>
        <v>3</v>
      </c>
      <c r="F504" s="278">
        <f t="shared" ref="F504:L504" si="100">SUM(F505:F507)</f>
        <v>4</v>
      </c>
      <c r="G504" s="278">
        <f t="shared" si="100"/>
        <v>12</v>
      </c>
      <c r="H504" s="278">
        <f t="shared" si="100"/>
        <v>7</v>
      </c>
      <c r="I504" s="278">
        <f t="shared" si="100"/>
        <v>5</v>
      </c>
      <c r="J504" s="278">
        <f t="shared" si="100"/>
        <v>24000</v>
      </c>
      <c r="K504" s="278">
        <f t="shared" si="100"/>
        <v>84000</v>
      </c>
      <c r="L504" s="278">
        <f t="shared" si="100"/>
        <v>108000</v>
      </c>
      <c r="M504" s="281"/>
      <c r="N504" s="307"/>
      <c r="O504" s="307"/>
      <c r="P504" s="319"/>
      <c r="Q504" s="319"/>
      <c r="R504" s="319"/>
      <c r="S504" s="147"/>
      <c r="T504" s="147"/>
      <c r="U504" s="3"/>
      <c r="V504" s="3"/>
    </row>
    <row r="505" spans="1:22" s="139" customFormat="1" ht="52.8" x14ac:dyDescent="0.3">
      <c r="A505" s="304">
        <v>1</v>
      </c>
      <c r="B505" s="299" t="s">
        <v>496</v>
      </c>
      <c r="C505" s="304" t="s">
        <v>247</v>
      </c>
      <c r="D505" s="304" t="s">
        <v>490</v>
      </c>
      <c r="E505" s="303">
        <v>1</v>
      </c>
      <c r="F505" s="303">
        <v>1</v>
      </c>
      <c r="G505" s="303">
        <v>3</v>
      </c>
      <c r="H505" s="303">
        <v>2</v>
      </c>
      <c r="I505" s="408">
        <v>1</v>
      </c>
      <c r="J505" s="305">
        <f t="shared" si="95"/>
        <v>4800</v>
      </c>
      <c r="K505" s="305">
        <f t="shared" si="96"/>
        <v>18600</v>
      </c>
      <c r="L505" s="305">
        <f t="shared" si="97"/>
        <v>23400</v>
      </c>
      <c r="M505" s="318"/>
      <c r="N505" s="299"/>
      <c r="O505" s="299"/>
      <c r="P505" s="317"/>
      <c r="Q505" s="317"/>
      <c r="R505" s="317"/>
      <c r="S505" s="146"/>
      <c r="T505" s="146"/>
      <c r="U505" s="3"/>
      <c r="V505" s="3"/>
    </row>
    <row r="506" spans="1:22" s="139" customFormat="1" ht="39.6" x14ac:dyDescent="0.3">
      <c r="A506" s="304">
        <v>2</v>
      </c>
      <c r="B506" s="299" t="s">
        <v>497</v>
      </c>
      <c r="C506" s="304" t="s">
        <v>247</v>
      </c>
      <c r="D506" s="304" t="s">
        <v>490</v>
      </c>
      <c r="E506" s="303">
        <v>1</v>
      </c>
      <c r="F506" s="303">
        <v>1</v>
      </c>
      <c r="G506" s="303">
        <v>3</v>
      </c>
      <c r="H506" s="303">
        <v>2</v>
      </c>
      <c r="I506" s="408">
        <v>1</v>
      </c>
      <c r="J506" s="305">
        <f t="shared" si="95"/>
        <v>4800</v>
      </c>
      <c r="K506" s="305">
        <f t="shared" si="96"/>
        <v>18600</v>
      </c>
      <c r="L506" s="305">
        <f t="shared" si="97"/>
        <v>23400</v>
      </c>
      <c r="M506" s="318"/>
      <c r="N506" s="299"/>
      <c r="O506" s="299"/>
      <c r="P506" s="317"/>
      <c r="Q506" s="317"/>
      <c r="R506" s="317"/>
      <c r="S506" s="146"/>
      <c r="T506" s="146"/>
      <c r="U506" s="3"/>
      <c r="V506" s="3"/>
    </row>
    <row r="507" spans="1:22" s="139" customFormat="1" ht="26.4" x14ac:dyDescent="0.3">
      <c r="A507" s="304">
        <v>3</v>
      </c>
      <c r="B507" s="299" t="s">
        <v>506</v>
      </c>
      <c r="C507" s="304" t="s">
        <v>247</v>
      </c>
      <c r="D507" s="304" t="s">
        <v>490</v>
      </c>
      <c r="E507" s="303">
        <v>1</v>
      </c>
      <c r="F507" s="303">
        <v>2</v>
      </c>
      <c r="G507" s="304">
        <v>6</v>
      </c>
      <c r="H507" s="304">
        <v>3</v>
      </c>
      <c r="I507" s="304">
        <v>3</v>
      </c>
      <c r="J507" s="305">
        <f t="shared" si="95"/>
        <v>14400</v>
      </c>
      <c r="K507" s="305">
        <f t="shared" si="96"/>
        <v>46800</v>
      </c>
      <c r="L507" s="305">
        <f t="shared" si="97"/>
        <v>61200</v>
      </c>
      <c r="M507" s="314"/>
      <c r="N507" s="299"/>
      <c r="O507" s="299"/>
      <c r="P507" s="317"/>
      <c r="Q507" s="317">
        <v>3</v>
      </c>
      <c r="R507" s="317"/>
      <c r="S507" s="146"/>
      <c r="T507" s="146"/>
      <c r="U507" s="3"/>
      <c r="V507" s="3"/>
    </row>
    <row r="508" spans="1:22" s="145" customFormat="1" ht="15.6" x14ac:dyDescent="0.3">
      <c r="A508" s="278"/>
      <c r="B508" s="307" t="s">
        <v>192</v>
      </c>
      <c r="C508" s="278"/>
      <c r="D508" s="278"/>
      <c r="E508" s="278"/>
      <c r="F508" s="278"/>
      <c r="G508" s="278"/>
      <c r="H508" s="278"/>
      <c r="I508" s="377"/>
      <c r="J508" s="305">
        <f t="shared" si="95"/>
        <v>0</v>
      </c>
      <c r="K508" s="305">
        <f t="shared" si="96"/>
        <v>0</v>
      </c>
      <c r="L508" s="305">
        <f t="shared" si="97"/>
        <v>0</v>
      </c>
      <c r="M508" s="281"/>
      <c r="N508" s="307"/>
      <c r="O508" s="307"/>
      <c r="P508" s="319"/>
      <c r="Q508" s="319"/>
      <c r="R508" s="319"/>
      <c r="S508" s="147"/>
      <c r="T508" s="147"/>
      <c r="U508" s="3"/>
      <c r="V508" s="3"/>
    </row>
    <row r="509" spans="1:22" s="139" customFormat="1" ht="15.6" x14ac:dyDescent="0.3">
      <c r="A509" s="279" t="s">
        <v>101</v>
      </c>
      <c r="B509" s="698" t="s">
        <v>179</v>
      </c>
      <c r="C509" s="699"/>
      <c r="D509" s="301"/>
      <c r="E509" s="309"/>
      <c r="F509" s="309"/>
      <c r="G509" s="309"/>
      <c r="H509" s="309"/>
      <c r="I509" s="409"/>
      <c r="J509" s="305">
        <f t="shared" si="95"/>
        <v>0</v>
      </c>
      <c r="K509" s="305">
        <f t="shared" si="96"/>
        <v>0</v>
      </c>
      <c r="L509" s="305">
        <f t="shared" si="97"/>
        <v>0</v>
      </c>
      <c r="M509" s="312"/>
      <c r="N509" s="299"/>
      <c r="O509" s="299"/>
      <c r="P509" s="317"/>
      <c r="Q509" s="317"/>
      <c r="R509" s="317"/>
      <c r="S509" s="146"/>
      <c r="T509" s="146"/>
      <c r="U509" s="3"/>
      <c r="V509" s="3"/>
    </row>
    <row r="510" spans="1:22" s="139" customFormat="1" ht="15.6" x14ac:dyDescent="0.3">
      <c r="A510" s="278"/>
      <c r="B510" s="311" t="s">
        <v>4</v>
      </c>
      <c r="C510" s="278"/>
      <c r="D510" s="304"/>
      <c r="E510" s="283">
        <f>SUM(E511:E521)</f>
        <v>11</v>
      </c>
      <c r="F510" s="283">
        <f t="shared" ref="F510:H510" si="101">SUM(F511:F521)</f>
        <v>19</v>
      </c>
      <c r="G510" s="283">
        <f t="shared" si="101"/>
        <v>30</v>
      </c>
      <c r="H510" s="283">
        <f t="shared" si="101"/>
        <v>23</v>
      </c>
      <c r="I510" s="283">
        <f>SUM(I511:I521)</f>
        <v>7</v>
      </c>
      <c r="J510" s="283">
        <f t="shared" ref="J510:L510" si="102">SUM(J511:J521)</f>
        <v>33600</v>
      </c>
      <c r="K510" s="283">
        <f t="shared" si="102"/>
        <v>324600</v>
      </c>
      <c r="L510" s="283">
        <f t="shared" si="102"/>
        <v>358200</v>
      </c>
      <c r="M510" s="312"/>
      <c r="N510" s="299"/>
      <c r="O510" s="299"/>
      <c r="P510" s="317"/>
      <c r="Q510" s="319">
        <v>5</v>
      </c>
      <c r="R510" s="317"/>
      <c r="S510" s="146"/>
      <c r="T510" s="146"/>
      <c r="U510" s="3"/>
      <c r="V510" s="3"/>
    </row>
    <row r="511" spans="1:22" s="139" customFormat="1" ht="26.4" x14ac:dyDescent="0.3">
      <c r="A511" s="304">
        <v>1</v>
      </c>
      <c r="B511" s="334" t="s">
        <v>514</v>
      </c>
      <c r="C511" s="304" t="s">
        <v>515</v>
      </c>
      <c r="D511" s="304" t="s">
        <v>490</v>
      </c>
      <c r="E511" s="303">
        <v>1</v>
      </c>
      <c r="F511" s="304">
        <v>1</v>
      </c>
      <c r="G511" s="304">
        <v>3</v>
      </c>
      <c r="H511" s="304">
        <v>3</v>
      </c>
      <c r="I511" s="385"/>
      <c r="J511" s="305">
        <f t="shared" si="95"/>
        <v>0</v>
      </c>
      <c r="K511" s="305">
        <f t="shared" si="96"/>
        <v>23400</v>
      </c>
      <c r="L511" s="305">
        <f t="shared" si="97"/>
        <v>23400</v>
      </c>
      <c r="M511" s="314"/>
      <c r="N511" s="299"/>
      <c r="O511" s="299"/>
      <c r="P511" s="317"/>
      <c r="Q511" s="317"/>
      <c r="R511" s="317"/>
      <c r="S511" s="146"/>
      <c r="T511" s="146"/>
      <c r="U511" s="3"/>
      <c r="V511" s="3"/>
    </row>
    <row r="512" spans="1:22" s="139" customFormat="1" ht="26.4" x14ac:dyDescent="0.3">
      <c r="A512" s="304">
        <v>2</v>
      </c>
      <c r="B512" s="302" t="s">
        <v>516</v>
      </c>
      <c r="C512" s="304" t="s">
        <v>513</v>
      </c>
      <c r="D512" s="304" t="s">
        <v>490</v>
      </c>
      <c r="E512" s="303">
        <v>1</v>
      </c>
      <c r="F512" s="304">
        <v>1</v>
      </c>
      <c r="G512" s="304">
        <v>3</v>
      </c>
      <c r="H512" s="304">
        <v>3</v>
      </c>
      <c r="I512" s="385"/>
      <c r="J512" s="305">
        <f t="shared" si="95"/>
        <v>0</v>
      </c>
      <c r="K512" s="305">
        <f t="shared" si="96"/>
        <v>23400</v>
      </c>
      <c r="L512" s="305">
        <f t="shared" si="97"/>
        <v>23400</v>
      </c>
      <c r="M512" s="314"/>
      <c r="N512" s="299"/>
      <c r="O512" s="299"/>
      <c r="P512" s="317"/>
      <c r="Q512" s="317"/>
      <c r="R512" s="317"/>
      <c r="S512" s="146"/>
      <c r="T512" s="146"/>
      <c r="U512" s="3"/>
      <c r="V512" s="3"/>
    </row>
    <row r="513" spans="1:22" s="139" customFormat="1" ht="39.6" x14ac:dyDescent="0.3">
      <c r="A513" s="304">
        <v>3</v>
      </c>
      <c r="B513" s="299" t="s">
        <v>517</v>
      </c>
      <c r="C513" s="304" t="s">
        <v>518</v>
      </c>
      <c r="D513" s="304" t="s">
        <v>490</v>
      </c>
      <c r="E513" s="303">
        <v>1</v>
      </c>
      <c r="F513" s="303">
        <v>6</v>
      </c>
      <c r="G513" s="303">
        <v>1</v>
      </c>
      <c r="H513" s="303">
        <v>1</v>
      </c>
      <c r="I513" s="376"/>
      <c r="J513" s="305">
        <f t="shared" si="95"/>
        <v>0</v>
      </c>
      <c r="K513" s="305">
        <f t="shared" si="96"/>
        <v>82800</v>
      </c>
      <c r="L513" s="305">
        <f t="shared" si="97"/>
        <v>82800</v>
      </c>
      <c r="M513" s="318"/>
      <c r="N513" s="299"/>
      <c r="O513" s="299"/>
      <c r="P513" s="317"/>
      <c r="Q513" s="317">
        <v>5</v>
      </c>
      <c r="R513" s="317"/>
      <c r="S513" s="146"/>
      <c r="T513" s="146"/>
      <c r="U513" s="3"/>
      <c r="V513" s="3"/>
    </row>
    <row r="514" spans="1:22" s="139" customFormat="1" ht="39.6" x14ac:dyDescent="0.3">
      <c r="A514" s="304">
        <v>4</v>
      </c>
      <c r="B514" s="299" t="s">
        <v>519</v>
      </c>
      <c r="C514" s="304" t="s">
        <v>520</v>
      </c>
      <c r="D514" s="304" t="s">
        <v>490</v>
      </c>
      <c r="E514" s="303">
        <v>1</v>
      </c>
      <c r="F514" s="303">
        <v>1</v>
      </c>
      <c r="G514" s="303">
        <v>1</v>
      </c>
      <c r="H514" s="303">
        <v>1</v>
      </c>
      <c r="I514" s="376"/>
      <c r="J514" s="305">
        <f t="shared" si="95"/>
        <v>0</v>
      </c>
      <c r="K514" s="305">
        <f t="shared" si="96"/>
        <v>13800</v>
      </c>
      <c r="L514" s="305">
        <f t="shared" si="97"/>
        <v>13800</v>
      </c>
      <c r="M514" s="318"/>
      <c r="N514" s="299"/>
      <c r="O514" s="299"/>
      <c r="P514" s="317"/>
      <c r="Q514" s="317"/>
      <c r="R514" s="317"/>
      <c r="S514" s="146"/>
      <c r="T514" s="146"/>
      <c r="U514" s="3"/>
      <c r="V514" s="3"/>
    </row>
    <row r="515" spans="1:22" s="139" customFormat="1" ht="39.6" x14ac:dyDescent="0.3">
      <c r="A515" s="304">
        <v>5</v>
      </c>
      <c r="B515" s="334" t="s">
        <v>521</v>
      </c>
      <c r="C515" s="304" t="s">
        <v>520</v>
      </c>
      <c r="D515" s="304" t="s">
        <v>490</v>
      </c>
      <c r="E515" s="303">
        <v>1</v>
      </c>
      <c r="F515" s="304">
        <v>3</v>
      </c>
      <c r="G515" s="304">
        <v>1</v>
      </c>
      <c r="H515" s="304">
        <v>1</v>
      </c>
      <c r="I515" s="385"/>
      <c r="J515" s="305">
        <f t="shared" si="95"/>
        <v>0</v>
      </c>
      <c r="K515" s="305">
        <f t="shared" si="96"/>
        <v>41400</v>
      </c>
      <c r="L515" s="305">
        <f t="shared" si="97"/>
        <v>41400</v>
      </c>
      <c r="M515" s="314"/>
      <c r="N515" s="299"/>
      <c r="O515" s="299"/>
      <c r="P515" s="317"/>
      <c r="Q515" s="317"/>
      <c r="R515" s="317"/>
      <c r="S515" s="146"/>
      <c r="T515" s="146"/>
      <c r="U515" s="4"/>
      <c r="V515" s="4"/>
    </row>
    <row r="516" spans="1:22" s="139" customFormat="1" ht="39.6" x14ac:dyDescent="0.3">
      <c r="A516" s="304">
        <v>6</v>
      </c>
      <c r="B516" s="299" t="s">
        <v>522</v>
      </c>
      <c r="C516" s="304" t="s">
        <v>520</v>
      </c>
      <c r="D516" s="304" t="s">
        <v>490</v>
      </c>
      <c r="E516" s="303">
        <v>1</v>
      </c>
      <c r="F516" s="303">
        <v>1</v>
      </c>
      <c r="G516" s="303">
        <v>1</v>
      </c>
      <c r="H516" s="303">
        <v>1</v>
      </c>
      <c r="I516" s="376"/>
      <c r="J516" s="305">
        <f t="shared" si="95"/>
        <v>0</v>
      </c>
      <c r="K516" s="305">
        <f t="shared" si="96"/>
        <v>13800</v>
      </c>
      <c r="L516" s="305">
        <f t="shared" si="97"/>
        <v>13800</v>
      </c>
      <c r="M516" s="318"/>
      <c r="N516" s="299"/>
      <c r="O516" s="299"/>
      <c r="P516" s="317"/>
      <c r="Q516" s="317"/>
      <c r="R516" s="317"/>
      <c r="S516" s="146"/>
      <c r="T516" s="146"/>
      <c r="U516" s="3"/>
      <c r="V516" s="3"/>
    </row>
    <row r="517" spans="1:22" s="139" customFormat="1" ht="26.4" x14ac:dyDescent="0.3">
      <c r="A517" s="304">
        <v>7</v>
      </c>
      <c r="B517" s="299" t="s">
        <v>523</v>
      </c>
      <c r="C517" s="304" t="s">
        <v>513</v>
      </c>
      <c r="D517" s="304" t="s">
        <v>490</v>
      </c>
      <c r="E517" s="303">
        <v>1</v>
      </c>
      <c r="F517" s="303">
        <v>1</v>
      </c>
      <c r="G517" s="303">
        <v>9</v>
      </c>
      <c r="H517" s="303">
        <v>6</v>
      </c>
      <c r="I517" s="408">
        <v>3</v>
      </c>
      <c r="J517" s="305">
        <f t="shared" si="95"/>
        <v>14400</v>
      </c>
      <c r="K517" s="305">
        <f t="shared" si="96"/>
        <v>37800</v>
      </c>
      <c r="L517" s="305">
        <f t="shared" si="97"/>
        <v>52200</v>
      </c>
      <c r="M517" s="318"/>
      <c r="N517" s="299"/>
      <c r="O517" s="299"/>
      <c r="P517" s="317"/>
      <c r="Q517" s="317"/>
      <c r="R517" s="317"/>
      <c r="S517" s="146"/>
      <c r="T517" s="146"/>
      <c r="U517" s="3"/>
      <c r="V517" s="3"/>
    </row>
    <row r="518" spans="1:22" s="139" customFormat="1" ht="39.6" x14ac:dyDescent="0.3">
      <c r="A518" s="304">
        <v>8</v>
      </c>
      <c r="B518" s="334" t="s">
        <v>524</v>
      </c>
      <c r="C518" s="304" t="s">
        <v>525</v>
      </c>
      <c r="D518" s="304" t="s">
        <v>490</v>
      </c>
      <c r="E518" s="303">
        <v>1</v>
      </c>
      <c r="F518" s="304">
        <v>2</v>
      </c>
      <c r="G518" s="304">
        <v>3</v>
      </c>
      <c r="H518" s="304">
        <v>2</v>
      </c>
      <c r="I518" s="379">
        <v>1</v>
      </c>
      <c r="J518" s="305">
        <f t="shared" si="95"/>
        <v>4800</v>
      </c>
      <c r="K518" s="305">
        <f t="shared" si="96"/>
        <v>37200</v>
      </c>
      <c r="L518" s="305">
        <f t="shared" si="97"/>
        <v>42000</v>
      </c>
      <c r="M518" s="314"/>
      <c r="N518" s="299"/>
      <c r="O518" s="299"/>
      <c r="P518" s="317"/>
      <c r="Q518" s="317">
        <v>2</v>
      </c>
      <c r="R518" s="317"/>
      <c r="S518" s="146"/>
      <c r="T518" s="146"/>
      <c r="U518" s="3"/>
      <c r="V518" s="3"/>
    </row>
    <row r="519" spans="1:22" s="139" customFormat="1" ht="39.6" x14ac:dyDescent="0.3">
      <c r="A519" s="304">
        <v>9</v>
      </c>
      <c r="B519" s="299" t="s">
        <v>526</v>
      </c>
      <c r="C519" s="304" t="s">
        <v>527</v>
      </c>
      <c r="D519" s="304" t="s">
        <v>490</v>
      </c>
      <c r="E519" s="303">
        <v>1</v>
      </c>
      <c r="F519" s="303">
        <v>1</v>
      </c>
      <c r="G519" s="303">
        <v>4</v>
      </c>
      <c r="H519" s="303">
        <v>2</v>
      </c>
      <c r="I519" s="408">
        <v>2</v>
      </c>
      <c r="J519" s="305">
        <f t="shared" si="95"/>
        <v>9600</v>
      </c>
      <c r="K519" s="305">
        <f t="shared" si="96"/>
        <v>18600</v>
      </c>
      <c r="L519" s="305">
        <f t="shared" si="97"/>
        <v>28200</v>
      </c>
      <c r="M519" s="318"/>
      <c r="N519" s="299"/>
      <c r="O519" s="299"/>
      <c r="P519" s="317"/>
      <c r="Q519" s="317"/>
      <c r="R519" s="317"/>
      <c r="S519" s="146"/>
      <c r="T519" s="146"/>
      <c r="U519" s="3"/>
      <c r="V519" s="3"/>
    </row>
    <row r="520" spans="1:22" s="139" customFormat="1" ht="39.6" x14ac:dyDescent="0.3">
      <c r="A520" s="304">
        <v>10</v>
      </c>
      <c r="B520" s="334" t="s">
        <v>528</v>
      </c>
      <c r="C520" s="304" t="s">
        <v>527</v>
      </c>
      <c r="D520" s="304" t="s">
        <v>490</v>
      </c>
      <c r="E520" s="303">
        <v>1</v>
      </c>
      <c r="F520" s="304">
        <v>1</v>
      </c>
      <c r="G520" s="304">
        <v>1</v>
      </c>
      <c r="H520" s="304">
        <v>1</v>
      </c>
      <c r="I520" s="385"/>
      <c r="J520" s="305">
        <f t="shared" si="95"/>
        <v>0</v>
      </c>
      <c r="K520" s="305">
        <f t="shared" si="96"/>
        <v>13800</v>
      </c>
      <c r="L520" s="305">
        <f t="shared" si="97"/>
        <v>13800</v>
      </c>
      <c r="M520" s="314"/>
      <c r="N520" s="299"/>
      <c r="O520" s="299"/>
      <c r="P520" s="317"/>
      <c r="Q520" s="317"/>
      <c r="R520" s="317"/>
      <c r="S520" s="146"/>
      <c r="T520" s="146"/>
      <c r="U520" s="3"/>
      <c r="V520" s="3"/>
    </row>
    <row r="521" spans="1:22" s="139" customFormat="1" ht="39.6" x14ac:dyDescent="0.3">
      <c r="A521" s="304">
        <v>11</v>
      </c>
      <c r="B521" s="334" t="s">
        <v>529</v>
      </c>
      <c r="C521" s="304" t="s">
        <v>527</v>
      </c>
      <c r="D521" s="304" t="s">
        <v>490</v>
      </c>
      <c r="E521" s="303">
        <v>1</v>
      </c>
      <c r="F521" s="304">
        <v>1</v>
      </c>
      <c r="G521" s="304">
        <v>3</v>
      </c>
      <c r="H521" s="304">
        <v>2</v>
      </c>
      <c r="I521" s="379">
        <v>1</v>
      </c>
      <c r="J521" s="305">
        <f t="shared" si="95"/>
        <v>4800</v>
      </c>
      <c r="K521" s="305">
        <f t="shared" si="96"/>
        <v>18600</v>
      </c>
      <c r="L521" s="305">
        <f t="shared" si="97"/>
        <v>23400</v>
      </c>
      <c r="M521" s="314"/>
      <c r="N521" s="299"/>
      <c r="O521" s="299"/>
      <c r="P521" s="317"/>
      <c r="Q521" s="317"/>
      <c r="R521" s="317"/>
      <c r="S521" s="146"/>
      <c r="T521" s="146"/>
      <c r="U521" s="4"/>
      <c r="V521" s="4"/>
    </row>
    <row r="522" spans="1:22" s="129" customFormat="1" x14ac:dyDescent="0.35">
      <c r="A522" s="278"/>
      <c r="B522" s="307" t="s">
        <v>173</v>
      </c>
      <c r="C522" s="304"/>
      <c r="D522" s="304"/>
      <c r="E522" s="299">
        <f>SUM(E523:E524)</f>
        <v>2</v>
      </c>
      <c r="F522" s="299">
        <f t="shared" ref="F522:L522" si="103">SUM(F523:F524)</f>
        <v>2</v>
      </c>
      <c r="G522" s="299">
        <f t="shared" si="103"/>
        <v>6</v>
      </c>
      <c r="H522" s="299">
        <f t="shared" si="103"/>
        <v>4</v>
      </c>
      <c r="I522" s="299">
        <f t="shared" si="103"/>
        <v>2</v>
      </c>
      <c r="J522" s="299">
        <f t="shared" si="103"/>
        <v>9600</v>
      </c>
      <c r="K522" s="299">
        <f t="shared" si="103"/>
        <v>37200</v>
      </c>
      <c r="L522" s="299">
        <f t="shared" si="103"/>
        <v>46800</v>
      </c>
      <c r="M522" s="336"/>
      <c r="N522" s="327"/>
      <c r="O522" s="327"/>
      <c r="P522" s="327"/>
      <c r="Q522" s="327"/>
      <c r="R522" s="327"/>
      <c r="S522" s="2"/>
      <c r="T522" s="2"/>
      <c r="U522" s="3"/>
      <c r="V522" s="3"/>
    </row>
    <row r="523" spans="1:22" s="139" customFormat="1" ht="26.4" x14ac:dyDescent="0.3">
      <c r="A523" s="304">
        <v>1</v>
      </c>
      <c r="B523" s="299" t="s">
        <v>514</v>
      </c>
      <c r="C523" s="304" t="s">
        <v>515</v>
      </c>
      <c r="D523" s="304" t="s">
        <v>490</v>
      </c>
      <c r="E523" s="303">
        <v>1</v>
      </c>
      <c r="F523" s="303">
        <v>1</v>
      </c>
      <c r="G523" s="303">
        <v>3</v>
      </c>
      <c r="H523" s="303">
        <v>2</v>
      </c>
      <c r="I523" s="408">
        <v>1</v>
      </c>
      <c r="J523" s="305">
        <f t="shared" si="95"/>
        <v>4800</v>
      </c>
      <c r="K523" s="305">
        <f t="shared" si="96"/>
        <v>18600</v>
      </c>
      <c r="L523" s="305">
        <f t="shared" si="97"/>
        <v>23400</v>
      </c>
      <c r="M523" s="318"/>
      <c r="N523" s="299"/>
      <c r="O523" s="299"/>
      <c r="P523" s="317"/>
      <c r="Q523" s="317"/>
      <c r="R523" s="317"/>
      <c r="S523" s="146"/>
      <c r="T523" s="146"/>
      <c r="U523" s="3"/>
      <c r="V523" s="3"/>
    </row>
    <row r="524" spans="1:22" s="139" customFormat="1" ht="26.4" x14ac:dyDescent="0.3">
      <c r="A524" s="304">
        <v>2</v>
      </c>
      <c r="B524" s="334" t="s">
        <v>530</v>
      </c>
      <c r="C524" s="304" t="s">
        <v>515</v>
      </c>
      <c r="D524" s="304" t="s">
        <v>490</v>
      </c>
      <c r="E524" s="303">
        <v>1</v>
      </c>
      <c r="F524" s="304">
        <v>1</v>
      </c>
      <c r="G524" s="304">
        <v>3</v>
      </c>
      <c r="H524" s="304">
        <v>2</v>
      </c>
      <c r="I524" s="379">
        <v>1</v>
      </c>
      <c r="J524" s="305">
        <f t="shared" si="95"/>
        <v>4800</v>
      </c>
      <c r="K524" s="305">
        <f t="shared" si="96"/>
        <v>18600</v>
      </c>
      <c r="L524" s="305">
        <f t="shared" si="97"/>
        <v>23400</v>
      </c>
      <c r="M524" s="314"/>
      <c r="N524" s="299"/>
      <c r="O524" s="299"/>
      <c r="P524" s="317"/>
      <c r="Q524" s="317"/>
      <c r="R524" s="317"/>
      <c r="S524" s="146"/>
      <c r="T524" s="146"/>
      <c r="U524" s="3"/>
      <c r="V524" s="3"/>
    </row>
    <row r="525" spans="1:22" s="129" customFormat="1" x14ac:dyDescent="0.35">
      <c r="A525" s="278"/>
      <c r="B525" s="307" t="s">
        <v>175</v>
      </c>
      <c r="C525" s="304"/>
      <c r="D525" s="304"/>
      <c r="E525" s="299">
        <f>SUM(E526:E527)</f>
        <v>2</v>
      </c>
      <c r="F525" s="299">
        <f t="shared" ref="F525:L525" si="104">SUM(F526:F527)</f>
        <v>3</v>
      </c>
      <c r="G525" s="299">
        <f t="shared" si="104"/>
        <v>4</v>
      </c>
      <c r="H525" s="299">
        <f t="shared" si="104"/>
        <v>2</v>
      </c>
      <c r="I525" s="299">
        <f t="shared" si="104"/>
        <v>2</v>
      </c>
      <c r="J525" s="299">
        <f t="shared" si="104"/>
        <v>9600</v>
      </c>
      <c r="K525" s="299">
        <f t="shared" si="104"/>
        <v>41400</v>
      </c>
      <c r="L525" s="299">
        <f t="shared" si="104"/>
        <v>51000</v>
      </c>
      <c r="M525" s="336"/>
      <c r="N525" s="327"/>
      <c r="O525" s="327"/>
      <c r="P525" s="327"/>
      <c r="Q525" s="327"/>
      <c r="R525" s="327"/>
      <c r="S525" s="2"/>
      <c r="T525" s="2"/>
      <c r="U525" s="3"/>
      <c r="V525" s="3"/>
    </row>
    <row r="526" spans="1:22" s="139" customFormat="1" ht="66" x14ac:dyDescent="0.3">
      <c r="A526" s="304">
        <v>1</v>
      </c>
      <c r="B526" s="334" t="s">
        <v>531</v>
      </c>
      <c r="C526" s="304" t="s">
        <v>520</v>
      </c>
      <c r="D526" s="304" t="s">
        <v>490</v>
      </c>
      <c r="E526" s="303">
        <v>1</v>
      </c>
      <c r="F526" s="304">
        <v>1</v>
      </c>
      <c r="G526" s="304">
        <v>1</v>
      </c>
      <c r="H526" s="304">
        <v>1</v>
      </c>
      <c r="I526" s="385"/>
      <c r="J526" s="305">
        <f t="shared" si="95"/>
        <v>0</v>
      </c>
      <c r="K526" s="305">
        <f t="shared" si="96"/>
        <v>13800</v>
      </c>
      <c r="L526" s="305">
        <f t="shared" si="97"/>
        <v>13800</v>
      </c>
      <c r="M526" s="314"/>
      <c r="N526" s="299"/>
      <c r="O526" s="299"/>
      <c r="P526" s="317"/>
      <c r="Q526" s="317"/>
      <c r="R526" s="317"/>
      <c r="S526" s="146"/>
      <c r="T526" s="146"/>
      <c r="U526" s="3"/>
      <c r="V526" s="3"/>
    </row>
    <row r="527" spans="1:22" s="139" customFormat="1" ht="39.6" x14ac:dyDescent="0.3">
      <c r="A527" s="304">
        <v>2</v>
      </c>
      <c r="B527" s="334" t="s">
        <v>524</v>
      </c>
      <c r="C527" s="304" t="s">
        <v>525</v>
      </c>
      <c r="D527" s="304" t="s">
        <v>490</v>
      </c>
      <c r="E527" s="303">
        <v>1</v>
      </c>
      <c r="F527" s="304">
        <v>2</v>
      </c>
      <c r="G527" s="304">
        <v>3</v>
      </c>
      <c r="H527" s="304">
        <v>1</v>
      </c>
      <c r="I527" s="379">
        <v>2</v>
      </c>
      <c r="J527" s="305">
        <f t="shared" si="95"/>
        <v>9600</v>
      </c>
      <c r="K527" s="305">
        <f t="shared" si="96"/>
        <v>27600</v>
      </c>
      <c r="L527" s="305">
        <f t="shared" si="97"/>
        <v>37200</v>
      </c>
      <c r="M527" s="314"/>
      <c r="N527" s="299"/>
      <c r="O527" s="299"/>
      <c r="P527" s="317"/>
      <c r="Q527" s="317">
        <v>1</v>
      </c>
      <c r="R527" s="317"/>
      <c r="S527" s="146"/>
      <c r="T527" s="146"/>
      <c r="U527" s="3"/>
      <c r="V527" s="3"/>
    </row>
    <row r="528" spans="1:22" s="129" customFormat="1" x14ac:dyDescent="0.35">
      <c r="A528" s="278"/>
      <c r="B528" s="307" t="s">
        <v>177</v>
      </c>
      <c r="C528" s="304"/>
      <c r="D528" s="304"/>
      <c r="E528" s="299"/>
      <c r="F528" s="299"/>
      <c r="G528" s="299"/>
      <c r="H528" s="299"/>
      <c r="I528" s="410"/>
      <c r="J528" s="305">
        <f t="shared" si="95"/>
        <v>0</v>
      </c>
      <c r="K528" s="305">
        <f t="shared" si="96"/>
        <v>0</v>
      </c>
      <c r="L528" s="305">
        <f t="shared" si="97"/>
        <v>0</v>
      </c>
      <c r="M528" s="336"/>
      <c r="N528" s="327"/>
      <c r="O528" s="327"/>
      <c r="P528" s="327"/>
      <c r="Q528" s="327"/>
      <c r="R528" s="327"/>
      <c r="S528" s="2"/>
      <c r="T528" s="2"/>
      <c r="U528" s="4"/>
      <c r="V528" s="4"/>
    </row>
    <row r="529" spans="1:22" s="129" customFormat="1" x14ac:dyDescent="0.35">
      <c r="A529" s="278"/>
      <c r="B529" s="307" t="s">
        <v>192</v>
      </c>
      <c r="C529" s="304"/>
      <c r="D529" s="304"/>
      <c r="E529" s="299"/>
      <c r="F529" s="299"/>
      <c r="G529" s="299"/>
      <c r="H529" s="299"/>
      <c r="I529" s="410"/>
      <c r="J529" s="305">
        <f t="shared" si="95"/>
        <v>0</v>
      </c>
      <c r="K529" s="305">
        <f t="shared" si="96"/>
        <v>0</v>
      </c>
      <c r="L529" s="305">
        <f t="shared" si="97"/>
        <v>0</v>
      </c>
      <c r="M529" s="336"/>
      <c r="N529" s="327"/>
      <c r="O529" s="327"/>
      <c r="P529" s="327"/>
      <c r="Q529" s="327"/>
      <c r="R529" s="327"/>
      <c r="S529" s="2"/>
      <c r="T529" s="2"/>
      <c r="U529" s="3"/>
      <c r="V529" s="3"/>
    </row>
    <row r="530" spans="1:22" s="139" customFormat="1" ht="39.6" x14ac:dyDescent="0.3">
      <c r="A530" s="304">
        <v>1</v>
      </c>
      <c r="B530" s="334" t="s">
        <v>524</v>
      </c>
      <c r="C530" s="304" t="s">
        <v>525</v>
      </c>
      <c r="D530" s="304" t="s">
        <v>490</v>
      </c>
      <c r="E530" s="303">
        <v>1</v>
      </c>
      <c r="F530" s="304">
        <v>2</v>
      </c>
      <c r="G530" s="304">
        <v>3</v>
      </c>
      <c r="H530" s="304">
        <v>2</v>
      </c>
      <c r="I530" s="379">
        <v>1</v>
      </c>
      <c r="J530" s="305">
        <f t="shared" si="95"/>
        <v>4800</v>
      </c>
      <c r="K530" s="305">
        <f t="shared" si="96"/>
        <v>37200</v>
      </c>
      <c r="L530" s="305">
        <f t="shared" si="97"/>
        <v>42000</v>
      </c>
      <c r="M530" s="314"/>
      <c r="N530" s="299"/>
      <c r="O530" s="299"/>
      <c r="P530" s="317"/>
      <c r="Q530" s="317">
        <v>2</v>
      </c>
      <c r="R530" s="317"/>
      <c r="S530" s="146"/>
      <c r="T530" s="146"/>
      <c r="U530" s="3"/>
      <c r="V530" s="3"/>
    </row>
    <row r="531" spans="1:22" s="129" customFormat="1" x14ac:dyDescent="0.35">
      <c r="A531" s="2"/>
      <c r="B531" s="2"/>
      <c r="C531" s="7"/>
      <c r="D531" s="7"/>
      <c r="E531" s="197"/>
      <c r="F531" s="2"/>
      <c r="G531" s="2"/>
      <c r="H531" s="2"/>
      <c r="I531" s="197"/>
      <c r="J531" s="132"/>
      <c r="K531" s="132"/>
      <c r="L531" s="2"/>
      <c r="M531" s="2"/>
      <c r="N531" s="2"/>
      <c r="O531" s="2"/>
      <c r="P531" s="2"/>
      <c r="Q531" s="2"/>
      <c r="R531" s="2"/>
      <c r="S531" s="2"/>
      <c r="T531" s="2"/>
    </row>
    <row r="532" spans="1:22" s="129" customFormat="1" x14ac:dyDescent="0.35">
      <c r="A532" s="2"/>
      <c r="B532" s="2"/>
      <c r="C532" s="7"/>
      <c r="D532" s="7"/>
      <c r="E532" s="197"/>
      <c r="F532" s="2"/>
      <c r="G532" s="2"/>
      <c r="H532" s="2"/>
      <c r="I532" s="197"/>
      <c r="J532" s="132"/>
      <c r="K532" s="132"/>
      <c r="L532" s="2"/>
      <c r="M532" s="2"/>
      <c r="N532" s="2"/>
      <c r="O532" s="2"/>
      <c r="P532" s="2"/>
      <c r="Q532" s="2"/>
      <c r="R532" s="2"/>
      <c r="S532" s="2"/>
      <c r="T532" s="2"/>
    </row>
    <row r="533" spans="1:22" s="129" customFormat="1" x14ac:dyDescent="0.35">
      <c r="A533" s="2"/>
      <c r="B533" s="2"/>
      <c r="C533" s="7"/>
      <c r="D533" s="7"/>
      <c r="E533" s="197"/>
      <c r="F533" s="2"/>
      <c r="G533" s="2"/>
      <c r="H533" s="2"/>
      <c r="I533" s="197"/>
      <c r="J533" s="132"/>
      <c r="K533" s="132"/>
      <c r="L533" s="2"/>
      <c r="M533" s="2"/>
      <c r="N533" s="2"/>
      <c r="O533" s="2"/>
      <c r="P533" s="2"/>
      <c r="Q533" s="2"/>
      <c r="R533" s="2"/>
      <c r="S533" s="2"/>
      <c r="T533" s="2"/>
    </row>
    <row r="534" spans="1:22" s="129" customFormat="1" x14ac:dyDescent="0.35">
      <c r="A534" s="2"/>
      <c r="B534" s="2"/>
      <c r="C534" s="7"/>
      <c r="D534" s="7"/>
      <c r="E534" s="197"/>
      <c r="F534" s="2"/>
      <c r="G534" s="2"/>
      <c r="H534" s="2"/>
      <c r="I534" s="197"/>
      <c r="J534" s="132"/>
      <c r="K534" s="132"/>
      <c r="L534" s="2"/>
      <c r="M534" s="2"/>
      <c r="N534" s="2"/>
      <c r="O534" s="2"/>
      <c r="P534" s="2"/>
      <c r="Q534" s="2"/>
      <c r="R534" s="2"/>
      <c r="S534" s="2"/>
      <c r="T534" s="2"/>
    </row>
    <row r="535" spans="1:22" s="129" customFormat="1" x14ac:dyDescent="0.35">
      <c r="A535" s="2"/>
      <c r="B535" s="2"/>
      <c r="C535" s="7"/>
      <c r="D535" s="7"/>
      <c r="E535" s="197"/>
      <c r="F535" s="2"/>
      <c r="G535" s="2"/>
      <c r="H535" s="2"/>
      <c r="I535" s="197"/>
      <c r="J535" s="132"/>
      <c r="K535" s="132"/>
      <c r="L535" s="2"/>
      <c r="M535" s="2"/>
      <c r="N535" s="2"/>
      <c r="O535" s="2"/>
      <c r="P535" s="2"/>
      <c r="Q535" s="2"/>
      <c r="R535" s="2"/>
      <c r="S535" s="2"/>
      <c r="T535" s="2"/>
    </row>
    <row r="536" spans="1:22" s="129" customFormat="1" x14ac:dyDescent="0.35">
      <c r="A536" s="2"/>
      <c r="B536" s="2"/>
      <c r="C536" s="7"/>
      <c r="D536" s="7"/>
      <c r="E536" s="197"/>
      <c r="F536" s="2"/>
      <c r="G536" s="2"/>
      <c r="H536" s="2"/>
      <c r="I536" s="197"/>
      <c r="J536" s="132"/>
      <c r="K536" s="132"/>
      <c r="L536" s="2"/>
      <c r="M536" s="2"/>
      <c r="N536" s="2"/>
      <c r="O536" s="2"/>
      <c r="P536" s="2"/>
      <c r="Q536" s="2"/>
      <c r="R536" s="2"/>
      <c r="S536" s="2"/>
      <c r="T536" s="2"/>
    </row>
    <row r="537" spans="1:22" s="129" customFormat="1" x14ac:dyDescent="0.35">
      <c r="A537" s="2"/>
      <c r="B537" s="2"/>
      <c r="C537" s="7"/>
      <c r="D537" s="7"/>
      <c r="E537" s="197"/>
      <c r="F537" s="2"/>
      <c r="G537" s="2"/>
      <c r="H537" s="2"/>
      <c r="I537" s="197"/>
      <c r="J537" s="132"/>
      <c r="K537" s="132"/>
      <c r="L537" s="2"/>
      <c r="M537" s="2"/>
      <c r="N537" s="2"/>
      <c r="O537" s="2"/>
      <c r="P537" s="2"/>
      <c r="Q537" s="2"/>
      <c r="R537" s="2"/>
      <c r="S537" s="2"/>
      <c r="T537" s="2"/>
    </row>
    <row r="538" spans="1:22" s="129" customFormat="1" x14ac:dyDescent="0.35">
      <c r="A538" s="2"/>
      <c r="B538" s="2"/>
      <c r="C538" s="7"/>
      <c r="D538" s="7"/>
      <c r="E538" s="197"/>
      <c r="F538" s="2"/>
      <c r="G538" s="2"/>
      <c r="H538" s="2"/>
      <c r="I538" s="197"/>
      <c r="J538" s="132"/>
      <c r="K538" s="132"/>
      <c r="L538" s="2"/>
      <c r="M538" s="2"/>
      <c r="N538" s="2"/>
      <c r="O538" s="2"/>
      <c r="P538" s="2"/>
      <c r="Q538" s="2"/>
      <c r="R538" s="2"/>
      <c r="S538" s="2"/>
      <c r="T538" s="2"/>
    </row>
    <row r="539" spans="1:22" s="129" customFormat="1" x14ac:dyDescent="0.35">
      <c r="A539" s="2"/>
      <c r="B539" s="2"/>
      <c r="C539" s="7"/>
      <c r="D539" s="7"/>
      <c r="E539" s="197"/>
      <c r="F539" s="2"/>
      <c r="G539" s="2"/>
      <c r="H539" s="2"/>
      <c r="I539" s="197"/>
      <c r="J539" s="132"/>
      <c r="K539" s="132"/>
      <c r="L539" s="2"/>
      <c r="M539" s="2"/>
      <c r="N539" s="2"/>
      <c r="O539" s="2"/>
      <c r="P539" s="2"/>
      <c r="Q539" s="2"/>
      <c r="R539" s="2"/>
      <c r="S539" s="2"/>
      <c r="T539" s="2"/>
    </row>
    <row r="540" spans="1:22" s="129" customFormat="1" x14ac:dyDescent="0.35">
      <c r="A540" s="2"/>
      <c r="B540" s="2"/>
      <c r="C540" s="7"/>
      <c r="D540" s="7"/>
      <c r="E540" s="197"/>
      <c r="F540" s="2"/>
      <c r="G540" s="2"/>
      <c r="H540" s="2"/>
      <c r="I540" s="197"/>
      <c r="J540" s="132"/>
      <c r="K540" s="132"/>
      <c r="L540" s="2"/>
      <c r="M540" s="2"/>
      <c r="N540" s="2"/>
      <c r="O540" s="2"/>
      <c r="P540" s="2"/>
      <c r="Q540" s="2"/>
      <c r="R540" s="2"/>
      <c r="S540" s="2"/>
      <c r="T540" s="2"/>
    </row>
    <row r="541" spans="1:22" s="129" customFormat="1" x14ac:dyDescent="0.35">
      <c r="A541" s="2"/>
      <c r="B541" s="2"/>
      <c r="C541" s="7"/>
      <c r="D541" s="7"/>
      <c r="E541" s="197"/>
      <c r="F541" s="2"/>
      <c r="G541" s="2"/>
      <c r="H541" s="2"/>
      <c r="I541" s="197"/>
      <c r="J541" s="132"/>
      <c r="K541" s="132"/>
      <c r="L541" s="2"/>
      <c r="M541" s="2"/>
      <c r="N541" s="2"/>
      <c r="O541" s="2"/>
      <c r="P541" s="2"/>
      <c r="Q541" s="2"/>
      <c r="R541" s="2"/>
      <c r="S541" s="2"/>
      <c r="T541" s="2"/>
    </row>
    <row r="542" spans="1:22" s="129" customFormat="1" x14ac:dyDescent="0.35">
      <c r="A542" s="2"/>
      <c r="B542" s="2"/>
      <c r="C542" s="7"/>
      <c r="D542" s="7"/>
      <c r="E542" s="197"/>
      <c r="F542" s="2"/>
      <c r="G542" s="2"/>
      <c r="H542" s="2"/>
      <c r="I542" s="197"/>
      <c r="J542" s="132"/>
      <c r="K542" s="132"/>
      <c r="L542" s="2"/>
      <c r="M542" s="2"/>
      <c r="N542" s="2"/>
      <c r="O542" s="2"/>
      <c r="P542" s="2"/>
      <c r="Q542" s="2"/>
      <c r="R542" s="2"/>
      <c r="S542" s="2"/>
      <c r="T542" s="2"/>
    </row>
    <row r="543" spans="1:22" s="129" customFormat="1" x14ac:dyDescent="0.35">
      <c r="A543" s="2"/>
      <c r="B543" s="2"/>
      <c r="C543" s="7"/>
      <c r="D543" s="7"/>
      <c r="E543" s="197"/>
      <c r="F543" s="2"/>
      <c r="G543" s="2"/>
      <c r="H543" s="2"/>
      <c r="I543" s="197"/>
      <c r="J543" s="132"/>
      <c r="K543" s="132"/>
      <c r="L543" s="2"/>
      <c r="M543" s="2"/>
      <c r="N543" s="2"/>
      <c r="O543" s="2"/>
      <c r="P543" s="2"/>
      <c r="Q543" s="2"/>
      <c r="R543" s="2"/>
      <c r="S543" s="2"/>
      <c r="T543" s="2"/>
    </row>
    <row r="544" spans="1:22" s="129" customFormat="1" x14ac:dyDescent="0.35">
      <c r="A544" s="2"/>
      <c r="B544" s="2"/>
      <c r="C544" s="7"/>
      <c r="D544" s="7"/>
      <c r="E544" s="197"/>
      <c r="F544" s="2"/>
      <c r="G544" s="2"/>
      <c r="H544" s="2"/>
      <c r="I544" s="197"/>
      <c r="J544" s="132"/>
      <c r="K544" s="132"/>
      <c r="L544" s="2"/>
      <c r="M544" s="2"/>
      <c r="N544" s="2"/>
      <c r="O544" s="2"/>
      <c r="P544" s="2"/>
      <c r="Q544" s="2"/>
      <c r="R544" s="2"/>
      <c r="S544" s="2"/>
      <c r="T544" s="2"/>
    </row>
    <row r="545" spans="1:20" s="129" customFormat="1" x14ac:dyDescent="0.35">
      <c r="A545" s="2"/>
      <c r="B545" s="2"/>
      <c r="C545" s="7"/>
      <c r="D545" s="7"/>
      <c r="E545" s="197"/>
      <c r="F545" s="2"/>
      <c r="G545" s="2"/>
      <c r="H545" s="2"/>
      <c r="I545" s="197"/>
      <c r="J545" s="132"/>
      <c r="K545" s="132"/>
      <c r="L545" s="2"/>
      <c r="M545" s="2"/>
      <c r="N545" s="2"/>
      <c r="O545" s="2"/>
      <c r="P545" s="2"/>
      <c r="Q545" s="2"/>
      <c r="R545" s="2"/>
      <c r="S545" s="2"/>
      <c r="T545" s="2"/>
    </row>
    <row r="546" spans="1:20" s="129" customFormat="1" x14ac:dyDescent="0.35">
      <c r="A546" s="2"/>
      <c r="B546" s="2"/>
      <c r="C546" s="7"/>
      <c r="D546" s="7"/>
      <c r="E546" s="197"/>
      <c r="F546" s="2"/>
      <c r="G546" s="2"/>
      <c r="H546" s="2"/>
      <c r="I546" s="197"/>
      <c r="J546" s="132"/>
      <c r="K546" s="132"/>
      <c r="L546" s="2"/>
      <c r="M546" s="2"/>
      <c r="N546" s="2"/>
      <c r="O546" s="2"/>
      <c r="P546" s="2"/>
      <c r="Q546" s="2"/>
      <c r="R546" s="2"/>
      <c r="S546" s="2"/>
      <c r="T546" s="2"/>
    </row>
    <row r="547" spans="1:20" s="129" customFormat="1" x14ac:dyDescent="0.35">
      <c r="A547" s="2"/>
      <c r="B547" s="2"/>
      <c r="C547" s="7"/>
      <c r="D547" s="7"/>
      <c r="E547" s="197"/>
      <c r="F547" s="2"/>
      <c r="G547" s="2"/>
      <c r="H547" s="2"/>
      <c r="I547" s="197"/>
      <c r="J547" s="132"/>
      <c r="K547" s="132"/>
      <c r="L547" s="2"/>
      <c r="M547" s="2"/>
      <c r="N547" s="2"/>
      <c r="O547" s="2"/>
      <c r="P547" s="2"/>
      <c r="Q547" s="2"/>
      <c r="R547" s="2"/>
      <c r="S547" s="2"/>
      <c r="T547" s="2"/>
    </row>
    <row r="548" spans="1:20" s="129" customFormat="1" x14ac:dyDescent="0.35">
      <c r="A548" s="2"/>
      <c r="B548" s="2"/>
      <c r="C548" s="7"/>
      <c r="D548" s="7"/>
      <c r="E548" s="197"/>
      <c r="F548" s="2"/>
      <c r="G548" s="2"/>
      <c r="H548" s="2"/>
      <c r="I548" s="197"/>
      <c r="J548" s="132"/>
      <c r="K548" s="132"/>
      <c r="L548" s="2"/>
      <c r="M548" s="2"/>
      <c r="N548" s="2"/>
      <c r="O548" s="2"/>
      <c r="P548" s="2"/>
      <c r="Q548" s="2"/>
      <c r="R548" s="2"/>
      <c r="S548" s="2"/>
      <c r="T548" s="2"/>
    </row>
    <row r="549" spans="1:20" s="129" customFormat="1" x14ac:dyDescent="0.35">
      <c r="A549" s="2"/>
      <c r="B549" s="2"/>
      <c r="C549" s="7"/>
      <c r="D549" s="7"/>
      <c r="E549" s="197"/>
      <c r="F549" s="2"/>
      <c r="G549" s="2"/>
      <c r="H549" s="2"/>
      <c r="I549" s="197"/>
      <c r="J549" s="132"/>
      <c r="K549" s="132"/>
      <c r="L549" s="2"/>
      <c r="M549" s="2"/>
      <c r="N549" s="2"/>
      <c r="O549" s="2"/>
      <c r="P549" s="2"/>
      <c r="Q549" s="2"/>
      <c r="R549" s="2"/>
      <c r="S549" s="2"/>
      <c r="T549" s="2"/>
    </row>
    <row r="550" spans="1:20" s="129" customFormat="1" x14ac:dyDescent="0.35">
      <c r="A550" s="2"/>
      <c r="B550" s="2"/>
      <c r="C550" s="7"/>
      <c r="D550" s="7"/>
      <c r="E550" s="197"/>
      <c r="F550" s="2"/>
      <c r="G550" s="2"/>
      <c r="H550" s="2"/>
      <c r="I550" s="197"/>
      <c r="J550" s="132"/>
      <c r="K550" s="132"/>
      <c r="L550" s="2"/>
      <c r="M550" s="2"/>
      <c r="N550" s="2"/>
      <c r="O550" s="2"/>
      <c r="P550" s="2"/>
      <c r="Q550" s="2"/>
      <c r="R550" s="2"/>
      <c r="S550" s="2"/>
      <c r="T550" s="2"/>
    </row>
    <row r="551" spans="1:20" s="129" customFormat="1" x14ac:dyDescent="0.35">
      <c r="A551" s="2"/>
      <c r="B551" s="2"/>
      <c r="C551" s="7"/>
      <c r="D551" s="7"/>
      <c r="E551" s="197"/>
      <c r="F551" s="2"/>
      <c r="G551" s="2"/>
      <c r="H551" s="2"/>
      <c r="I551" s="197"/>
      <c r="J551" s="132"/>
      <c r="K551" s="132"/>
      <c r="L551" s="2"/>
      <c r="M551" s="2"/>
      <c r="N551" s="2"/>
      <c r="O551" s="2"/>
      <c r="P551" s="2"/>
      <c r="Q551" s="2"/>
      <c r="R551" s="2"/>
      <c r="S551" s="2"/>
      <c r="T551" s="2"/>
    </row>
    <row r="552" spans="1:20" s="129" customFormat="1" x14ac:dyDescent="0.35">
      <c r="A552" s="2"/>
      <c r="B552" s="2"/>
      <c r="C552" s="7"/>
      <c r="D552" s="7"/>
      <c r="E552" s="197"/>
      <c r="F552" s="2"/>
      <c r="G552" s="2"/>
      <c r="H552" s="2"/>
      <c r="I552" s="197"/>
      <c r="J552" s="132"/>
      <c r="K552" s="132"/>
      <c r="L552" s="2"/>
      <c r="M552" s="2"/>
      <c r="N552" s="2"/>
      <c r="O552" s="2"/>
      <c r="P552" s="2"/>
      <c r="Q552" s="2"/>
      <c r="R552" s="2"/>
      <c r="S552" s="2"/>
      <c r="T552" s="2"/>
    </row>
    <row r="553" spans="1:20" s="129" customFormat="1" x14ac:dyDescent="0.35">
      <c r="A553" s="2"/>
      <c r="B553" s="2"/>
      <c r="C553" s="7"/>
      <c r="D553" s="7"/>
      <c r="E553" s="197"/>
      <c r="F553" s="2"/>
      <c r="G553" s="2"/>
      <c r="H553" s="2"/>
      <c r="I553" s="197"/>
      <c r="J553" s="132"/>
      <c r="K553" s="132"/>
      <c r="L553" s="2"/>
      <c r="M553" s="2"/>
      <c r="N553" s="2"/>
      <c r="O553" s="2"/>
      <c r="P553" s="2"/>
      <c r="Q553" s="2"/>
      <c r="R553" s="2"/>
      <c r="S553" s="2"/>
      <c r="T553" s="2"/>
    </row>
    <row r="554" spans="1:20" s="129" customFormat="1" x14ac:dyDescent="0.35">
      <c r="A554" s="2"/>
      <c r="B554" s="2"/>
      <c r="C554" s="7"/>
      <c r="D554" s="7"/>
      <c r="E554" s="197"/>
      <c r="F554" s="2"/>
      <c r="G554" s="2"/>
      <c r="H554" s="2"/>
      <c r="I554" s="197"/>
      <c r="J554" s="132"/>
      <c r="K554" s="132"/>
      <c r="L554" s="2"/>
      <c r="M554" s="2"/>
      <c r="N554" s="2"/>
      <c r="O554" s="2"/>
      <c r="P554" s="2"/>
      <c r="Q554" s="2"/>
      <c r="R554" s="2"/>
      <c r="S554" s="2"/>
      <c r="T554" s="2"/>
    </row>
    <row r="555" spans="1:20" s="129" customFormat="1" x14ac:dyDescent="0.35">
      <c r="A555" s="2"/>
      <c r="B555" s="2"/>
      <c r="C555" s="7"/>
      <c r="D555" s="7"/>
      <c r="E555" s="197"/>
      <c r="F555" s="2"/>
      <c r="G555" s="2"/>
      <c r="H555" s="2"/>
      <c r="I555" s="197"/>
      <c r="J555" s="132"/>
      <c r="K555" s="132"/>
      <c r="L555" s="2"/>
      <c r="M555" s="2"/>
      <c r="N555" s="2"/>
      <c r="O555" s="2"/>
      <c r="P555" s="2"/>
      <c r="Q555" s="2"/>
      <c r="R555" s="2"/>
      <c r="S555" s="2"/>
      <c r="T555" s="2"/>
    </row>
    <row r="556" spans="1:20" s="129" customFormat="1" x14ac:dyDescent="0.35">
      <c r="A556" s="2"/>
      <c r="B556" s="2"/>
      <c r="C556" s="7"/>
      <c r="D556" s="7"/>
      <c r="E556" s="197"/>
      <c r="F556" s="2"/>
      <c r="G556" s="2"/>
      <c r="H556" s="2"/>
      <c r="I556" s="197"/>
      <c r="J556" s="132"/>
      <c r="K556" s="132"/>
      <c r="L556" s="2"/>
      <c r="M556" s="2"/>
      <c r="N556" s="2"/>
      <c r="O556" s="2"/>
      <c r="P556" s="2"/>
      <c r="Q556" s="2"/>
      <c r="R556" s="2"/>
      <c r="S556" s="2"/>
      <c r="T556" s="2"/>
    </row>
    <row r="557" spans="1:20" s="129" customFormat="1" x14ac:dyDescent="0.35">
      <c r="A557" s="2"/>
      <c r="B557" s="2"/>
      <c r="C557" s="7"/>
      <c r="D557" s="7"/>
      <c r="E557" s="197"/>
      <c r="F557" s="2"/>
      <c r="G557" s="2"/>
      <c r="H557" s="2"/>
      <c r="I557" s="197"/>
      <c r="J557" s="132"/>
      <c r="K557" s="132"/>
      <c r="L557" s="2"/>
      <c r="M557" s="2"/>
      <c r="N557" s="2"/>
      <c r="O557" s="2"/>
      <c r="P557" s="2"/>
      <c r="Q557" s="2"/>
      <c r="R557" s="2"/>
      <c r="S557" s="2"/>
      <c r="T557" s="2"/>
    </row>
    <row r="558" spans="1:20" s="129" customFormat="1" x14ac:dyDescent="0.35">
      <c r="A558" s="2"/>
      <c r="B558" s="2"/>
      <c r="C558" s="7"/>
      <c r="D558" s="7"/>
      <c r="E558" s="197"/>
      <c r="F558" s="2"/>
      <c r="G558" s="2"/>
      <c r="H558" s="2"/>
      <c r="I558" s="197"/>
      <c r="J558" s="132"/>
      <c r="K558" s="132"/>
      <c r="L558" s="2"/>
      <c r="M558" s="2"/>
      <c r="N558" s="2"/>
      <c r="O558" s="2"/>
      <c r="P558" s="2"/>
      <c r="Q558" s="2"/>
      <c r="R558" s="2"/>
      <c r="S558" s="2"/>
      <c r="T558" s="2"/>
    </row>
    <row r="559" spans="1:20" s="129" customFormat="1" x14ac:dyDescent="0.35">
      <c r="A559" s="2"/>
      <c r="B559" s="2"/>
      <c r="C559" s="7"/>
      <c r="D559" s="7"/>
      <c r="E559" s="197"/>
      <c r="F559" s="2"/>
      <c r="G559" s="2"/>
      <c r="H559" s="2"/>
      <c r="I559" s="197"/>
      <c r="J559" s="132"/>
      <c r="K559" s="132"/>
      <c r="L559" s="2"/>
      <c r="M559" s="2"/>
      <c r="N559" s="2"/>
      <c r="O559" s="2"/>
      <c r="P559" s="2"/>
      <c r="Q559" s="2"/>
      <c r="R559" s="2"/>
      <c r="S559" s="2"/>
      <c r="T559" s="2"/>
    </row>
    <row r="560" spans="1:20" s="129" customFormat="1" x14ac:dyDescent="0.35">
      <c r="A560" s="2"/>
      <c r="B560" s="2"/>
      <c r="C560" s="7"/>
      <c r="D560" s="7"/>
      <c r="E560" s="197"/>
      <c r="F560" s="2"/>
      <c r="G560" s="2"/>
      <c r="H560" s="2"/>
      <c r="I560" s="197"/>
      <c r="J560" s="132"/>
      <c r="K560" s="132"/>
      <c r="L560" s="2"/>
      <c r="M560" s="2"/>
      <c r="N560" s="2"/>
      <c r="O560" s="2"/>
      <c r="P560" s="2"/>
      <c r="Q560" s="2"/>
      <c r="R560" s="2"/>
      <c r="S560" s="2"/>
      <c r="T560" s="2"/>
    </row>
    <row r="561" spans="1:20" s="129" customFormat="1" x14ac:dyDescent="0.35">
      <c r="A561" s="2"/>
      <c r="B561" s="2"/>
      <c r="C561" s="7"/>
      <c r="D561" s="7"/>
      <c r="E561" s="197"/>
      <c r="F561" s="2"/>
      <c r="G561" s="2"/>
      <c r="H561" s="2"/>
      <c r="I561" s="197"/>
      <c r="J561" s="132"/>
      <c r="K561" s="132"/>
      <c r="L561" s="2"/>
      <c r="M561" s="2"/>
      <c r="N561" s="2"/>
      <c r="O561" s="2"/>
      <c r="P561" s="2"/>
      <c r="Q561" s="2"/>
      <c r="R561" s="2"/>
      <c r="S561" s="2"/>
      <c r="T561" s="2"/>
    </row>
    <row r="562" spans="1:20" s="129" customFormat="1" x14ac:dyDescent="0.35">
      <c r="A562" s="2"/>
      <c r="B562" s="2"/>
      <c r="C562" s="7"/>
      <c r="D562" s="7"/>
      <c r="E562" s="197"/>
      <c r="F562" s="2"/>
      <c r="G562" s="2"/>
      <c r="H562" s="2"/>
      <c r="I562" s="197"/>
      <c r="J562" s="132"/>
      <c r="K562" s="132"/>
      <c r="L562" s="2"/>
      <c r="M562" s="2"/>
      <c r="N562" s="2"/>
      <c r="O562" s="2"/>
      <c r="P562" s="2"/>
      <c r="Q562" s="2"/>
      <c r="R562" s="2"/>
      <c r="S562" s="2"/>
      <c r="T562" s="2"/>
    </row>
    <row r="563" spans="1:20" s="129" customFormat="1" x14ac:dyDescent="0.35">
      <c r="A563" s="2"/>
      <c r="B563" s="2"/>
      <c r="C563" s="7"/>
      <c r="D563" s="7"/>
      <c r="E563" s="197"/>
      <c r="F563" s="2"/>
      <c r="G563" s="2"/>
      <c r="H563" s="2"/>
      <c r="I563" s="197"/>
      <c r="J563" s="132"/>
      <c r="K563" s="132"/>
      <c r="L563" s="2"/>
      <c r="M563" s="2"/>
      <c r="N563" s="2"/>
      <c r="O563" s="2"/>
      <c r="P563" s="2"/>
      <c r="Q563" s="2"/>
      <c r="R563" s="2"/>
      <c r="S563" s="2"/>
      <c r="T563" s="2"/>
    </row>
    <row r="564" spans="1:20" s="129" customFormat="1" x14ac:dyDescent="0.35">
      <c r="A564" s="2"/>
      <c r="B564" s="2"/>
      <c r="C564" s="7"/>
      <c r="D564" s="7"/>
      <c r="E564" s="197"/>
      <c r="F564" s="2"/>
      <c r="G564" s="2"/>
      <c r="H564" s="2"/>
      <c r="I564" s="197"/>
      <c r="J564" s="132"/>
      <c r="K564" s="132"/>
      <c r="L564" s="2"/>
      <c r="M564" s="2"/>
      <c r="N564" s="2"/>
      <c r="O564" s="2"/>
      <c r="P564" s="2"/>
      <c r="Q564" s="2"/>
      <c r="R564" s="2"/>
      <c r="S564" s="2"/>
      <c r="T564" s="2"/>
    </row>
    <row r="565" spans="1:20" s="129" customFormat="1" x14ac:dyDescent="0.35">
      <c r="A565" s="2"/>
      <c r="B565" s="2"/>
      <c r="C565" s="7"/>
      <c r="D565" s="7"/>
      <c r="E565" s="197"/>
      <c r="F565" s="2"/>
      <c r="G565" s="2"/>
      <c r="H565" s="2"/>
      <c r="I565" s="197"/>
      <c r="J565" s="132"/>
      <c r="K565" s="132"/>
      <c r="L565" s="2"/>
      <c r="M565" s="2"/>
      <c r="N565" s="2"/>
      <c r="O565" s="2"/>
      <c r="P565" s="2"/>
      <c r="Q565" s="2"/>
      <c r="R565" s="2"/>
      <c r="S565" s="2"/>
      <c r="T565" s="2"/>
    </row>
    <row r="566" spans="1:20" s="129" customFormat="1" x14ac:dyDescent="0.35">
      <c r="A566" s="2"/>
      <c r="B566" s="2"/>
      <c r="C566" s="7"/>
      <c r="D566" s="7"/>
      <c r="E566" s="197"/>
      <c r="F566" s="2"/>
      <c r="G566" s="2"/>
      <c r="H566" s="2"/>
      <c r="I566" s="197"/>
      <c r="J566" s="132"/>
      <c r="K566" s="132"/>
      <c r="L566" s="2"/>
      <c r="M566" s="2"/>
      <c r="N566" s="2"/>
      <c r="O566" s="2"/>
      <c r="P566" s="2"/>
      <c r="Q566" s="2"/>
      <c r="R566" s="2"/>
      <c r="S566" s="2"/>
      <c r="T566" s="2"/>
    </row>
    <row r="567" spans="1:20" s="129" customFormat="1" x14ac:dyDescent="0.35">
      <c r="A567" s="2"/>
      <c r="B567" s="2"/>
      <c r="C567" s="7"/>
      <c r="D567" s="7"/>
      <c r="E567" s="197"/>
      <c r="F567" s="2"/>
      <c r="G567" s="2"/>
      <c r="H567" s="2"/>
      <c r="I567" s="197"/>
      <c r="J567" s="132"/>
      <c r="K567" s="132"/>
      <c r="L567" s="2"/>
      <c r="M567" s="2"/>
      <c r="N567" s="2"/>
      <c r="O567" s="2"/>
      <c r="P567" s="2"/>
      <c r="Q567" s="2"/>
      <c r="R567" s="2"/>
      <c r="S567" s="2"/>
      <c r="T567" s="2"/>
    </row>
    <row r="568" spans="1:20" s="129" customFormat="1" x14ac:dyDescent="0.35">
      <c r="A568" s="2"/>
      <c r="B568" s="2"/>
      <c r="C568" s="7"/>
      <c r="D568" s="7"/>
      <c r="E568" s="197"/>
      <c r="F568" s="2"/>
      <c r="G568" s="2"/>
      <c r="H568" s="2"/>
      <c r="I568" s="197"/>
      <c r="J568" s="132"/>
      <c r="K568" s="132"/>
      <c r="L568" s="2"/>
      <c r="M568" s="2"/>
      <c r="N568" s="2"/>
      <c r="O568" s="2"/>
      <c r="P568" s="2"/>
      <c r="Q568" s="2"/>
      <c r="R568" s="2"/>
      <c r="S568" s="2"/>
      <c r="T568" s="2"/>
    </row>
    <row r="569" spans="1:20" s="129" customFormat="1" x14ac:dyDescent="0.35">
      <c r="A569" s="2"/>
      <c r="B569" s="2"/>
      <c r="C569" s="7"/>
      <c r="D569" s="7"/>
      <c r="E569" s="197"/>
      <c r="F569" s="2"/>
      <c r="G569" s="2"/>
      <c r="H569" s="2"/>
      <c r="I569" s="197"/>
      <c r="J569" s="132"/>
      <c r="K569" s="132"/>
      <c r="L569" s="2"/>
      <c r="M569" s="2"/>
      <c r="N569" s="2"/>
      <c r="O569" s="2"/>
      <c r="P569" s="2"/>
      <c r="Q569" s="2"/>
      <c r="R569" s="2"/>
      <c r="S569" s="2"/>
      <c r="T569" s="2"/>
    </row>
    <row r="570" spans="1:20" s="129" customFormat="1" x14ac:dyDescent="0.35">
      <c r="A570" s="2"/>
      <c r="B570" s="2"/>
      <c r="C570" s="7"/>
      <c r="D570" s="7"/>
      <c r="E570" s="197"/>
      <c r="F570" s="2"/>
      <c r="G570" s="2"/>
      <c r="H570" s="2"/>
      <c r="I570" s="197"/>
      <c r="J570" s="132"/>
      <c r="K570" s="132"/>
      <c r="L570" s="2"/>
      <c r="M570" s="2"/>
      <c r="N570" s="2"/>
      <c r="O570" s="2"/>
      <c r="P570" s="2"/>
      <c r="Q570" s="2"/>
      <c r="R570" s="2"/>
      <c r="S570" s="2"/>
      <c r="T570" s="2"/>
    </row>
    <row r="571" spans="1:20" s="129" customFormat="1" x14ac:dyDescent="0.35">
      <c r="A571" s="2"/>
      <c r="B571" s="2"/>
      <c r="C571" s="7"/>
      <c r="D571" s="7"/>
      <c r="E571" s="197"/>
      <c r="F571" s="2"/>
      <c r="G571" s="2"/>
      <c r="H571" s="2"/>
      <c r="I571" s="197"/>
      <c r="J571" s="132"/>
      <c r="K571" s="132"/>
      <c r="L571" s="2"/>
      <c r="M571" s="2"/>
      <c r="N571" s="2"/>
      <c r="O571" s="2"/>
      <c r="P571" s="2"/>
      <c r="Q571" s="2"/>
      <c r="R571" s="2"/>
      <c r="S571" s="2"/>
      <c r="T571" s="2"/>
    </row>
    <row r="572" spans="1:20" s="129" customFormat="1" x14ac:dyDescent="0.35">
      <c r="A572" s="2"/>
      <c r="B572" s="2"/>
      <c r="C572" s="7"/>
      <c r="D572" s="7"/>
      <c r="E572" s="197"/>
      <c r="F572" s="2"/>
      <c r="G572" s="2"/>
      <c r="H572" s="2"/>
      <c r="I572" s="197"/>
      <c r="J572" s="132"/>
      <c r="K572" s="132"/>
      <c r="L572" s="2"/>
      <c r="M572" s="2"/>
      <c r="N572" s="2"/>
      <c r="O572" s="2"/>
      <c r="P572" s="2"/>
      <c r="Q572" s="2"/>
      <c r="R572" s="2"/>
      <c r="S572" s="2"/>
      <c r="T572" s="2"/>
    </row>
    <row r="573" spans="1:20" s="129" customFormat="1" x14ac:dyDescent="0.35">
      <c r="A573" s="2"/>
      <c r="B573" s="2"/>
      <c r="C573" s="7"/>
      <c r="D573" s="7"/>
      <c r="E573" s="197"/>
      <c r="F573" s="2"/>
      <c r="G573" s="2"/>
      <c r="H573" s="2"/>
      <c r="I573" s="197"/>
      <c r="J573" s="132"/>
      <c r="K573" s="132"/>
      <c r="L573" s="2"/>
      <c r="M573" s="2"/>
      <c r="N573" s="2"/>
      <c r="O573" s="2"/>
      <c r="P573" s="2"/>
      <c r="Q573" s="2"/>
      <c r="R573" s="2"/>
      <c r="S573" s="2"/>
      <c r="T573" s="2"/>
    </row>
    <row r="574" spans="1:20" s="129" customFormat="1" x14ac:dyDescent="0.35">
      <c r="A574" s="2"/>
      <c r="B574" s="2"/>
      <c r="C574" s="7"/>
      <c r="D574" s="7"/>
      <c r="E574" s="197"/>
      <c r="F574" s="2"/>
      <c r="G574" s="2"/>
      <c r="H574" s="2"/>
      <c r="I574" s="197"/>
      <c r="J574" s="132"/>
      <c r="K574" s="132"/>
      <c r="L574" s="2"/>
      <c r="M574" s="2"/>
      <c r="N574" s="2"/>
      <c r="O574" s="2"/>
      <c r="P574" s="2"/>
      <c r="Q574" s="2"/>
      <c r="R574" s="2"/>
      <c r="S574" s="2"/>
      <c r="T574" s="2"/>
    </row>
    <row r="575" spans="1:20" s="129" customFormat="1" x14ac:dyDescent="0.35">
      <c r="A575" s="2"/>
      <c r="B575" s="2"/>
      <c r="C575" s="7"/>
      <c r="D575" s="7"/>
      <c r="E575" s="197"/>
      <c r="F575" s="2"/>
      <c r="G575" s="2"/>
      <c r="H575" s="2"/>
      <c r="I575" s="197"/>
      <c r="J575" s="132"/>
      <c r="K575" s="132"/>
      <c r="L575" s="2"/>
      <c r="M575" s="2"/>
      <c r="N575" s="2"/>
      <c r="O575" s="2"/>
      <c r="P575" s="2"/>
      <c r="Q575" s="2"/>
      <c r="R575" s="2"/>
      <c r="S575" s="2"/>
      <c r="T575" s="2"/>
    </row>
    <row r="576" spans="1:20" s="129" customFormat="1" x14ac:dyDescent="0.35">
      <c r="A576" s="2"/>
      <c r="B576" s="2"/>
      <c r="C576" s="7"/>
      <c r="D576" s="7"/>
      <c r="E576" s="197"/>
      <c r="F576" s="2"/>
      <c r="G576" s="2"/>
      <c r="H576" s="2"/>
      <c r="I576" s="197"/>
      <c r="J576" s="132"/>
      <c r="K576" s="132"/>
      <c r="L576" s="2"/>
      <c r="M576" s="2"/>
      <c r="N576" s="2"/>
      <c r="O576" s="2"/>
      <c r="P576" s="2"/>
      <c r="Q576" s="2"/>
      <c r="R576" s="2"/>
      <c r="S576" s="2"/>
      <c r="T576" s="2"/>
    </row>
    <row r="577" spans="1:20" s="129" customFormat="1" x14ac:dyDescent="0.35">
      <c r="A577" s="2"/>
      <c r="B577" s="2"/>
      <c r="C577" s="7"/>
      <c r="D577" s="7"/>
      <c r="E577" s="197"/>
      <c r="F577" s="2"/>
      <c r="G577" s="2"/>
      <c r="H577" s="2"/>
      <c r="I577" s="197"/>
      <c r="J577" s="132"/>
      <c r="K577" s="132"/>
      <c r="L577" s="2"/>
      <c r="M577" s="2"/>
      <c r="N577" s="2"/>
      <c r="O577" s="2"/>
      <c r="P577" s="2"/>
      <c r="Q577" s="2"/>
      <c r="R577" s="2"/>
      <c r="S577" s="2"/>
      <c r="T577" s="2"/>
    </row>
    <row r="578" spans="1:20" s="129" customFormat="1" x14ac:dyDescent="0.35">
      <c r="A578" s="2"/>
      <c r="B578" s="2"/>
      <c r="C578" s="7"/>
      <c r="D578" s="7"/>
      <c r="E578" s="197"/>
      <c r="F578" s="2"/>
      <c r="G578" s="2"/>
      <c r="H578" s="2"/>
      <c r="I578" s="197"/>
      <c r="J578" s="132"/>
      <c r="K578" s="132"/>
      <c r="L578" s="2"/>
      <c r="M578" s="2"/>
      <c r="N578" s="2"/>
      <c r="O578" s="2"/>
      <c r="P578" s="2"/>
      <c r="Q578" s="2"/>
      <c r="R578" s="2"/>
      <c r="S578" s="2"/>
      <c r="T578" s="2"/>
    </row>
    <row r="579" spans="1:20" s="129" customFormat="1" x14ac:dyDescent="0.35">
      <c r="A579" s="2"/>
      <c r="B579" s="2"/>
      <c r="C579" s="7"/>
      <c r="D579" s="7"/>
      <c r="E579" s="197"/>
      <c r="F579" s="2"/>
      <c r="G579" s="2"/>
      <c r="H579" s="2"/>
      <c r="I579" s="197"/>
      <c r="J579" s="132"/>
      <c r="K579" s="132"/>
      <c r="L579" s="2"/>
      <c r="M579" s="2"/>
      <c r="N579" s="2"/>
      <c r="O579" s="2"/>
      <c r="P579" s="2"/>
      <c r="Q579" s="2"/>
      <c r="R579" s="2"/>
      <c r="S579" s="2"/>
      <c r="T579" s="2"/>
    </row>
    <row r="580" spans="1:20" s="129" customFormat="1" x14ac:dyDescent="0.35">
      <c r="A580" s="2"/>
      <c r="B580" s="2"/>
      <c r="C580" s="7"/>
      <c r="D580" s="7"/>
      <c r="E580" s="197"/>
      <c r="F580" s="2"/>
      <c r="G580" s="2"/>
      <c r="H580" s="2"/>
      <c r="I580" s="197"/>
      <c r="J580" s="132"/>
      <c r="K580" s="132"/>
      <c r="L580" s="2"/>
      <c r="M580" s="2"/>
      <c r="N580" s="2"/>
      <c r="O580" s="2"/>
      <c r="P580" s="2"/>
      <c r="Q580" s="2"/>
      <c r="R580" s="2"/>
      <c r="S580" s="2"/>
      <c r="T580" s="2"/>
    </row>
    <row r="581" spans="1:20" s="129" customFormat="1" x14ac:dyDescent="0.35">
      <c r="A581" s="2"/>
      <c r="B581" s="2"/>
      <c r="C581" s="7"/>
      <c r="D581" s="7"/>
      <c r="E581" s="197"/>
      <c r="F581" s="2"/>
      <c r="G581" s="2"/>
      <c r="H581" s="2"/>
      <c r="I581" s="197"/>
      <c r="J581" s="132"/>
      <c r="K581" s="132"/>
      <c r="L581" s="2"/>
      <c r="M581" s="2"/>
      <c r="N581" s="2"/>
      <c r="O581" s="2"/>
      <c r="P581" s="2"/>
      <c r="Q581" s="2"/>
      <c r="R581" s="2"/>
      <c r="S581" s="2"/>
      <c r="T581" s="2"/>
    </row>
    <row r="582" spans="1:20" s="129" customFormat="1" x14ac:dyDescent="0.35">
      <c r="A582" s="2"/>
      <c r="B582" s="2"/>
      <c r="C582" s="7"/>
      <c r="D582" s="7"/>
      <c r="E582" s="197"/>
      <c r="F582" s="2"/>
      <c r="G582" s="2"/>
      <c r="H582" s="2"/>
      <c r="I582" s="197"/>
      <c r="J582" s="132"/>
      <c r="K582" s="132"/>
      <c r="L582" s="2"/>
      <c r="M582" s="2"/>
      <c r="N582" s="2"/>
      <c r="O582" s="2"/>
      <c r="P582" s="2"/>
      <c r="Q582" s="2"/>
      <c r="R582" s="2"/>
      <c r="S582" s="2"/>
      <c r="T582" s="2"/>
    </row>
    <row r="583" spans="1:20" s="129" customFormat="1" x14ac:dyDescent="0.35">
      <c r="A583" s="2"/>
      <c r="B583" s="2"/>
      <c r="C583" s="7"/>
      <c r="D583" s="7"/>
      <c r="E583" s="197"/>
      <c r="F583" s="2"/>
      <c r="G583" s="2"/>
      <c r="H583" s="2"/>
      <c r="I583" s="197"/>
      <c r="J583" s="132"/>
      <c r="K583" s="132"/>
      <c r="L583" s="2"/>
      <c r="M583" s="2"/>
      <c r="N583" s="2"/>
      <c r="O583" s="2"/>
      <c r="P583" s="2"/>
      <c r="Q583" s="2"/>
      <c r="R583" s="2"/>
      <c r="S583" s="2"/>
      <c r="T583" s="2"/>
    </row>
    <row r="584" spans="1:20" s="129" customFormat="1" x14ac:dyDescent="0.35">
      <c r="A584" s="2"/>
      <c r="B584" s="2"/>
      <c r="C584" s="7"/>
      <c r="D584" s="7"/>
      <c r="E584" s="197"/>
      <c r="F584" s="2"/>
      <c r="G584" s="2"/>
      <c r="H584" s="2"/>
      <c r="I584" s="197"/>
      <c r="J584" s="132"/>
      <c r="K584" s="132"/>
      <c r="L584" s="2"/>
      <c r="M584" s="2"/>
      <c r="N584" s="2"/>
      <c r="O584" s="2"/>
      <c r="P584" s="2"/>
      <c r="Q584" s="2"/>
      <c r="R584" s="2"/>
      <c r="S584" s="2"/>
      <c r="T584" s="2"/>
    </row>
    <row r="585" spans="1:20" s="129" customFormat="1" x14ac:dyDescent="0.35">
      <c r="A585" s="2"/>
      <c r="B585" s="2"/>
      <c r="C585" s="7"/>
      <c r="D585" s="7"/>
      <c r="E585" s="197"/>
      <c r="F585" s="2"/>
      <c r="G585" s="2"/>
      <c r="H585" s="2"/>
      <c r="I585" s="197"/>
      <c r="J585" s="132"/>
      <c r="K585" s="132"/>
      <c r="L585" s="2"/>
      <c r="M585" s="2"/>
      <c r="N585" s="2"/>
      <c r="O585" s="2"/>
      <c r="P585" s="2"/>
      <c r="Q585" s="2"/>
      <c r="R585" s="2"/>
      <c r="S585" s="2"/>
      <c r="T585" s="2"/>
    </row>
    <row r="586" spans="1:20" s="129" customFormat="1" x14ac:dyDescent="0.35">
      <c r="A586" s="2"/>
      <c r="B586" s="2"/>
      <c r="C586" s="7"/>
      <c r="D586" s="7"/>
      <c r="E586" s="197"/>
      <c r="F586" s="2"/>
      <c r="G586" s="2"/>
      <c r="H586" s="2"/>
      <c r="I586" s="197"/>
      <c r="J586" s="132"/>
      <c r="K586" s="132"/>
      <c r="L586" s="2"/>
      <c r="M586" s="2"/>
      <c r="N586" s="2"/>
      <c r="O586" s="2"/>
      <c r="P586" s="2"/>
      <c r="Q586" s="2"/>
      <c r="R586" s="2"/>
      <c r="S586" s="2"/>
      <c r="T586" s="2"/>
    </row>
    <row r="587" spans="1:20" s="129" customFormat="1" x14ac:dyDescent="0.35">
      <c r="A587" s="2"/>
      <c r="B587" s="2"/>
      <c r="C587" s="7"/>
      <c r="D587" s="7"/>
      <c r="E587" s="197"/>
      <c r="F587" s="2"/>
      <c r="G587" s="2"/>
      <c r="H587" s="2"/>
      <c r="I587" s="197"/>
      <c r="J587" s="132"/>
      <c r="K587" s="132"/>
      <c r="L587" s="2"/>
      <c r="M587" s="2"/>
      <c r="N587" s="2"/>
      <c r="O587" s="2"/>
      <c r="P587" s="2"/>
      <c r="Q587" s="2"/>
      <c r="R587" s="2"/>
      <c r="S587" s="2"/>
      <c r="T587" s="2"/>
    </row>
    <row r="588" spans="1:20" s="129" customFormat="1" x14ac:dyDescent="0.35">
      <c r="A588" s="2"/>
      <c r="B588" s="2"/>
      <c r="C588" s="7"/>
      <c r="D588" s="7"/>
      <c r="E588" s="197"/>
      <c r="F588" s="2"/>
      <c r="G588" s="2"/>
      <c r="H588" s="2"/>
      <c r="I588" s="197"/>
      <c r="J588" s="132"/>
      <c r="K588" s="132"/>
      <c r="L588" s="2"/>
      <c r="M588" s="2"/>
      <c r="N588" s="2"/>
      <c r="O588" s="2"/>
      <c r="P588" s="2"/>
      <c r="Q588" s="2"/>
      <c r="R588" s="2"/>
      <c r="S588" s="2"/>
      <c r="T588" s="2"/>
    </row>
    <row r="589" spans="1:20" s="129" customFormat="1" x14ac:dyDescent="0.35">
      <c r="A589" s="2"/>
      <c r="B589" s="2"/>
      <c r="C589" s="7"/>
      <c r="D589" s="7"/>
      <c r="E589" s="197"/>
      <c r="F589" s="2"/>
      <c r="G589" s="2"/>
      <c r="H589" s="2"/>
      <c r="I589" s="197"/>
      <c r="J589" s="132"/>
      <c r="K589" s="132"/>
      <c r="L589" s="2"/>
      <c r="M589" s="2"/>
      <c r="N589" s="2"/>
      <c r="O589" s="2"/>
      <c r="P589" s="2"/>
      <c r="Q589" s="2"/>
      <c r="R589" s="2"/>
      <c r="S589" s="2"/>
      <c r="T589" s="2"/>
    </row>
    <row r="590" spans="1:20" s="129" customFormat="1" x14ac:dyDescent="0.35">
      <c r="A590" s="2"/>
      <c r="B590" s="2"/>
      <c r="C590" s="7"/>
      <c r="D590" s="7"/>
      <c r="E590" s="197"/>
      <c r="F590" s="2"/>
      <c r="G590" s="2"/>
      <c r="H590" s="2"/>
      <c r="I590" s="197"/>
      <c r="J590" s="132"/>
      <c r="K590" s="132"/>
      <c r="L590" s="2"/>
      <c r="M590" s="2"/>
      <c r="N590" s="2"/>
      <c r="O590" s="2"/>
      <c r="P590" s="2"/>
      <c r="Q590" s="2"/>
      <c r="R590" s="2"/>
      <c r="S590" s="2"/>
      <c r="T590" s="2"/>
    </row>
    <row r="591" spans="1:20" s="129" customFormat="1" x14ac:dyDescent="0.35">
      <c r="A591" s="2"/>
      <c r="B591" s="2"/>
      <c r="C591" s="7"/>
      <c r="D591" s="7"/>
      <c r="E591" s="197"/>
      <c r="F591" s="2"/>
      <c r="G591" s="2"/>
      <c r="H591" s="2"/>
      <c r="I591" s="197"/>
      <c r="J591" s="132"/>
      <c r="K591" s="132"/>
      <c r="L591" s="2"/>
      <c r="M591" s="2"/>
      <c r="N591" s="2"/>
      <c r="O591" s="2"/>
      <c r="P591" s="2"/>
      <c r="Q591" s="2"/>
      <c r="R591" s="2"/>
      <c r="S591" s="2"/>
      <c r="T591" s="2"/>
    </row>
    <row r="592" spans="1:20" s="129" customFormat="1" x14ac:dyDescent="0.35">
      <c r="A592" s="2"/>
      <c r="B592" s="2"/>
      <c r="C592" s="7"/>
      <c r="D592" s="7"/>
      <c r="E592" s="197"/>
      <c r="F592" s="2"/>
      <c r="G592" s="2"/>
      <c r="H592" s="2"/>
      <c r="I592" s="197"/>
      <c r="J592" s="132"/>
      <c r="K592" s="132"/>
      <c r="L592" s="2"/>
      <c r="M592" s="2"/>
      <c r="N592" s="2"/>
      <c r="O592" s="2"/>
      <c r="P592" s="2"/>
      <c r="Q592" s="2"/>
      <c r="R592" s="2"/>
      <c r="S592" s="2"/>
      <c r="T592" s="2"/>
    </row>
    <row r="593" spans="1:20" s="129" customFormat="1" x14ac:dyDescent="0.35">
      <c r="A593" s="2"/>
      <c r="B593" s="2"/>
      <c r="C593" s="7"/>
      <c r="D593" s="7"/>
      <c r="E593" s="197"/>
      <c r="F593" s="2"/>
      <c r="G593" s="2"/>
      <c r="H593" s="2"/>
      <c r="I593" s="197"/>
      <c r="J593" s="132"/>
      <c r="K593" s="132"/>
      <c r="L593" s="2"/>
      <c r="M593" s="2"/>
      <c r="N593" s="2"/>
      <c r="O593" s="2"/>
      <c r="P593" s="2"/>
      <c r="Q593" s="2"/>
      <c r="R593" s="2"/>
      <c r="S593" s="2"/>
      <c r="T593" s="2"/>
    </row>
    <row r="594" spans="1:20" s="129" customFormat="1" x14ac:dyDescent="0.35">
      <c r="A594" s="2"/>
      <c r="B594" s="2"/>
      <c r="C594" s="7"/>
      <c r="D594" s="7"/>
      <c r="E594" s="197"/>
      <c r="F594" s="2"/>
      <c r="G594" s="2"/>
      <c r="H594" s="2"/>
      <c r="I594" s="197"/>
      <c r="J594" s="132"/>
      <c r="K594" s="132"/>
      <c r="L594" s="2"/>
      <c r="M594" s="2"/>
      <c r="N594" s="2"/>
      <c r="O594" s="2"/>
      <c r="P594" s="2"/>
      <c r="Q594" s="2"/>
      <c r="R594" s="2"/>
      <c r="S594" s="2"/>
      <c r="T594" s="2"/>
    </row>
    <row r="595" spans="1:20" s="129" customFormat="1" x14ac:dyDescent="0.35">
      <c r="A595" s="2"/>
      <c r="B595" s="2"/>
      <c r="C595" s="7"/>
      <c r="D595" s="7"/>
      <c r="E595" s="197"/>
      <c r="F595" s="2"/>
      <c r="G595" s="2"/>
      <c r="H595" s="2"/>
      <c r="I595" s="197"/>
      <c r="J595" s="132"/>
      <c r="K595" s="132"/>
      <c r="L595" s="2"/>
      <c r="M595" s="2"/>
      <c r="N595" s="2"/>
      <c r="O595" s="2"/>
      <c r="P595" s="2"/>
      <c r="Q595" s="2"/>
      <c r="R595" s="2"/>
      <c r="S595" s="2"/>
      <c r="T595" s="2"/>
    </row>
  </sheetData>
  <mergeCells count="91">
    <mergeCell ref="B509:C509"/>
    <mergeCell ref="C372:C381"/>
    <mergeCell ref="D372:D381"/>
    <mergeCell ref="C383:C392"/>
    <mergeCell ref="D383:D392"/>
    <mergeCell ref="B436:C436"/>
    <mergeCell ref="C457:C459"/>
    <mergeCell ref="D458:D459"/>
    <mergeCell ref="C463:C464"/>
    <mergeCell ref="C466:C467"/>
    <mergeCell ref="D466:D467"/>
    <mergeCell ref="C471:C474"/>
    <mergeCell ref="D471:D474"/>
    <mergeCell ref="C338:C348"/>
    <mergeCell ref="D338:D348"/>
    <mergeCell ref="C350:C359"/>
    <mergeCell ref="D350:D359"/>
    <mergeCell ref="D361:D370"/>
    <mergeCell ref="C363:C368"/>
    <mergeCell ref="B309:C309"/>
    <mergeCell ref="C311:C318"/>
    <mergeCell ref="D311:D335"/>
    <mergeCell ref="C321:C324"/>
    <mergeCell ref="C326:C327"/>
    <mergeCell ref="C329:C332"/>
    <mergeCell ref="B246:D246"/>
    <mergeCell ref="B257:C257"/>
    <mergeCell ref="C265:C266"/>
    <mergeCell ref="D265:D266"/>
    <mergeCell ref="C268:C269"/>
    <mergeCell ref="D268:D269"/>
    <mergeCell ref="C212:C215"/>
    <mergeCell ref="C216:C217"/>
    <mergeCell ref="C218:C219"/>
    <mergeCell ref="C224:C227"/>
    <mergeCell ref="C231:C242"/>
    <mergeCell ref="C222:C223"/>
    <mergeCell ref="D167:D168"/>
    <mergeCell ref="L167:L168"/>
    <mergeCell ref="M167:M168"/>
    <mergeCell ref="C186:C189"/>
    <mergeCell ref="D188:D191"/>
    <mergeCell ref="C190:C191"/>
    <mergeCell ref="J167:J168"/>
    <mergeCell ref="K167:K168"/>
    <mergeCell ref="F167:F168"/>
    <mergeCell ref="G167:G168"/>
    <mergeCell ref="H167:H168"/>
    <mergeCell ref="I167:I168"/>
    <mergeCell ref="E167:E168"/>
    <mergeCell ref="C199:C200"/>
    <mergeCell ref="C201:C209"/>
    <mergeCell ref="B153:C153"/>
    <mergeCell ref="B154:C154"/>
    <mergeCell ref="B167:B168"/>
    <mergeCell ref="C167:C168"/>
    <mergeCell ref="C192:C194"/>
    <mergeCell ref="D133:D134"/>
    <mergeCell ref="A20:C20"/>
    <mergeCell ref="B31:C31"/>
    <mergeCell ref="B46:C46"/>
    <mergeCell ref="B58:C58"/>
    <mergeCell ref="B61:D61"/>
    <mergeCell ref="C85:C86"/>
    <mergeCell ref="D85:D86"/>
    <mergeCell ref="C88:C89"/>
    <mergeCell ref="D88:D89"/>
    <mergeCell ref="C126:C127"/>
    <mergeCell ref="D126:D128"/>
    <mergeCell ref="D130:D131"/>
    <mergeCell ref="U4:U5"/>
    <mergeCell ref="B10:B11"/>
    <mergeCell ref="B12:B13"/>
    <mergeCell ref="B14:B15"/>
    <mergeCell ref="B16:B17"/>
    <mergeCell ref="M4:M5"/>
    <mergeCell ref="T4:T5"/>
    <mergeCell ref="B18:B19"/>
    <mergeCell ref="G4:I4"/>
    <mergeCell ref="J4:J5"/>
    <mergeCell ref="K4:K5"/>
    <mergeCell ref="L4:L5"/>
    <mergeCell ref="A1:M1"/>
    <mergeCell ref="A2:M2"/>
    <mergeCell ref="K3:M3"/>
    <mergeCell ref="A4:A5"/>
    <mergeCell ref="B4:B5"/>
    <mergeCell ref="C4:C5"/>
    <mergeCell ref="D4:D5"/>
    <mergeCell ref="E4:E5"/>
    <mergeCell ref="F4:F5"/>
  </mergeCells>
  <printOptions horizontalCentered="1"/>
  <pageMargins left="0.7" right="0.7" top="0.75" bottom="0.75" header="0.3" footer="0.3"/>
  <pageSetup scale="95"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S72"/>
  <sheetViews>
    <sheetView workbookViewId="0">
      <selection activeCell="M30" sqref="M30"/>
    </sheetView>
  </sheetViews>
  <sheetFormatPr defaultColWidth="8.88671875" defaultRowHeight="15.6" x14ac:dyDescent="0.25"/>
  <cols>
    <col min="1" max="1" width="6.6640625" style="8" customWidth="1"/>
    <col min="2" max="2" width="43.33203125" style="25" customWidth="1"/>
    <col min="3" max="3" width="9.6640625" style="26" customWidth="1"/>
    <col min="4" max="4" width="9" style="27" customWidth="1"/>
    <col min="5" max="5" width="13.33203125" style="28" customWidth="1"/>
    <col min="6" max="6" width="14" style="5" customWidth="1"/>
    <col min="7" max="16384" width="8.88671875" style="5"/>
  </cols>
  <sheetData>
    <row r="1" spans="1:19" ht="24.9" customHeight="1" x14ac:dyDescent="0.25">
      <c r="A1" s="723" t="s">
        <v>614</v>
      </c>
      <c r="B1" s="724"/>
      <c r="C1" s="724"/>
      <c r="D1" s="724"/>
      <c r="E1" s="724"/>
      <c r="F1" s="724"/>
      <c r="G1" s="2"/>
      <c r="H1" s="2"/>
    </row>
    <row r="2" spans="1:19" ht="21.9" customHeight="1" x14ac:dyDescent="0.25">
      <c r="A2" s="730" t="s">
        <v>610</v>
      </c>
      <c r="B2" s="730"/>
      <c r="C2" s="730"/>
      <c r="D2" s="730"/>
      <c r="E2" s="730"/>
      <c r="F2" s="730"/>
    </row>
    <row r="3" spans="1:19" s="12" customFormat="1" ht="62.4" x14ac:dyDescent="0.25">
      <c r="A3" s="1" t="s">
        <v>20</v>
      </c>
      <c r="B3" s="29" t="s">
        <v>0</v>
      </c>
      <c r="C3" s="9" t="s">
        <v>2</v>
      </c>
      <c r="D3" s="10" t="s">
        <v>24</v>
      </c>
      <c r="E3" s="11" t="s">
        <v>12</v>
      </c>
      <c r="F3" s="1" t="s">
        <v>11</v>
      </c>
      <c r="I3" s="719" t="s">
        <v>590</v>
      </c>
      <c r="J3" s="720"/>
      <c r="K3" s="720"/>
      <c r="L3" s="720"/>
      <c r="M3" s="720"/>
      <c r="N3" s="721"/>
    </row>
    <row r="4" spans="1:19" s="12" customFormat="1" ht="16.2" x14ac:dyDescent="0.25">
      <c r="A4" s="13">
        <v>1</v>
      </c>
      <c r="B4" s="14">
        <v>2</v>
      </c>
      <c r="C4" s="13">
        <v>3</v>
      </c>
      <c r="D4" s="14">
        <v>4</v>
      </c>
      <c r="E4" s="13">
        <v>5</v>
      </c>
      <c r="F4" s="14">
        <v>6</v>
      </c>
      <c r="I4" s="215"/>
      <c r="J4" s="215" t="s">
        <v>583</v>
      </c>
      <c r="K4" s="215" t="s">
        <v>584</v>
      </c>
      <c r="L4" s="215" t="s">
        <v>591</v>
      </c>
      <c r="M4" s="215" t="s">
        <v>586</v>
      </c>
      <c r="N4" s="215" t="s">
        <v>592</v>
      </c>
      <c r="O4" s="12" t="s">
        <v>593</v>
      </c>
    </row>
    <row r="5" spans="1:19" s="12" customFormat="1" ht="16.2" x14ac:dyDescent="0.25">
      <c r="A5" s="13"/>
      <c r="B5" s="14" t="s">
        <v>594</v>
      </c>
      <c r="C5" s="15">
        <f>C8+C17+C26+C35+C44</f>
        <v>36779</v>
      </c>
      <c r="D5" s="15"/>
      <c r="E5" s="15">
        <f t="shared" ref="E5:E6" si="0">E8+E17+E26+E35+E44</f>
        <v>203690</v>
      </c>
      <c r="F5" s="14"/>
      <c r="I5" s="215">
        <v>2026</v>
      </c>
      <c r="J5" s="215">
        <v>1</v>
      </c>
      <c r="K5" s="215">
        <v>25</v>
      </c>
      <c r="L5" s="215">
        <v>4</v>
      </c>
      <c r="M5" s="215">
        <v>25</v>
      </c>
      <c r="N5" s="215">
        <v>8</v>
      </c>
      <c r="O5" s="12">
        <f>J5+K5+L5+M5</f>
        <v>55</v>
      </c>
    </row>
    <row r="6" spans="1:19" s="12" customFormat="1" ht="48.6" x14ac:dyDescent="0.25">
      <c r="A6" s="13"/>
      <c r="B6" s="216" t="s">
        <v>21</v>
      </c>
      <c r="C6" s="15">
        <f>C9+C18+C27+C36+C45</f>
        <v>26741</v>
      </c>
      <c r="D6" s="15"/>
      <c r="E6" s="15">
        <f t="shared" si="0"/>
        <v>118870</v>
      </c>
      <c r="F6" s="14"/>
      <c r="I6" s="215">
        <v>2027</v>
      </c>
      <c r="J6" s="215"/>
      <c r="K6" s="215">
        <v>12</v>
      </c>
      <c r="L6" s="215">
        <v>4</v>
      </c>
      <c r="M6" s="215">
        <v>12</v>
      </c>
      <c r="N6" s="215">
        <v>10</v>
      </c>
      <c r="O6" s="12">
        <f t="shared" ref="O6:O10" si="1">J6+K6+L6+M6</f>
        <v>28</v>
      </c>
    </row>
    <row r="7" spans="1:19" s="12" customFormat="1" ht="16.2" x14ac:dyDescent="0.25">
      <c r="A7" s="13"/>
      <c r="B7" s="216" t="s">
        <v>22</v>
      </c>
      <c r="C7" s="15">
        <f>C13+C22+C31+C40+C49</f>
        <v>10038</v>
      </c>
      <c r="D7" s="15"/>
      <c r="E7" s="15">
        <f t="shared" ref="E7" si="2">E13+E22+E31+E40+E49</f>
        <v>84820</v>
      </c>
      <c r="F7" s="14"/>
      <c r="I7" s="215">
        <v>2028</v>
      </c>
      <c r="J7" s="215"/>
      <c r="K7" s="215">
        <v>45</v>
      </c>
      <c r="L7" s="215">
        <v>2</v>
      </c>
      <c r="M7" s="215">
        <v>45</v>
      </c>
      <c r="N7" s="215">
        <v>12</v>
      </c>
      <c r="O7" s="12">
        <f t="shared" si="1"/>
        <v>92</v>
      </c>
    </row>
    <row r="8" spans="1:19" s="12" customFormat="1" x14ac:dyDescent="0.25">
      <c r="A8" s="219">
        <v>1</v>
      </c>
      <c r="B8" s="220" t="s">
        <v>4</v>
      </c>
      <c r="C8" s="221">
        <f>C9+C13</f>
        <v>10103</v>
      </c>
      <c r="D8" s="221"/>
      <c r="E8" s="221">
        <f t="shared" ref="E8" si="3">E9+E13</f>
        <v>56467</v>
      </c>
      <c r="F8" s="1"/>
      <c r="I8" s="215">
        <v>2029</v>
      </c>
      <c r="J8" s="215"/>
      <c r="K8" s="215">
        <v>32</v>
      </c>
      <c r="L8" s="215">
        <v>3</v>
      </c>
      <c r="M8" s="215">
        <v>32</v>
      </c>
      <c r="N8" s="215">
        <v>12</v>
      </c>
      <c r="O8" s="12">
        <f t="shared" si="1"/>
        <v>67</v>
      </c>
    </row>
    <row r="9" spans="1:19" s="12" customFormat="1" ht="31.2" x14ac:dyDescent="0.25">
      <c r="A9" s="1" t="s">
        <v>23</v>
      </c>
      <c r="B9" s="16" t="s">
        <v>21</v>
      </c>
      <c r="C9" s="11">
        <f>C10+C12+C11</f>
        <v>7062</v>
      </c>
      <c r="D9" s="11"/>
      <c r="E9" s="11">
        <f t="shared" ref="E9" si="4">E10+E12+E11</f>
        <v>31163</v>
      </c>
      <c r="F9" s="1"/>
      <c r="I9" s="215">
        <v>2030</v>
      </c>
      <c r="J9" s="215">
        <v>1</v>
      </c>
      <c r="K9" s="215">
        <v>32</v>
      </c>
      <c r="L9" s="215">
        <v>2</v>
      </c>
      <c r="M9" s="215">
        <v>32</v>
      </c>
      <c r="N9" s="215">
        <v>16</v>
      </c>
      <c r="O9" s="12">
        <f t="shared" si="1"/>
        <v>67</v>
      </c>
    </row>
    <row r="10" spans="1:19" ht="31.2" x14ac:dyDescent="0.25">
      <c r="A10" s="17"/>
      <c r="B10" s="18" t="s">
        <v>14</v>
      </c>
      <c r="C10" s="19">
        <f>787+O5+J16</f>
        <v>850</v>
      </c>
      <c r="D10" s="20">
        <v>6</v>
      </c>
      <c r="E10" s="19">
        <f t="shared" ref="E10:E16" si="5">C10*D10</f>
        <v>5100</v>
      </c>
      <c r="F10" s="17"/>
      <c r="I10" s="215" t="s">
        <v>533</v>
      </c>
      <c r="J10" s="215">
        <f>SUM(J5:J9)</f>
        <v>2</v>
      </c>
      <c r="K10" s="215">
        <f t="shared" ref="K10:N10" si="6">SUM(K5:K9)</f>
        <v>146</v>
      </c>
      <c r="L10" s="215">
        <f t="shared" si="6"/>
        <v>15</v>
      </c>
      <c r="M10" s="215">
        <f t="shared" si="6"/>
        <v>146</v>
      </c>
      <c r="N10" s="215">
        <f t="shared" si="6"/>
        <v>58</v>
      </c>
      <c r="O10" s="12">
        <f t="shared" si="1"/>
        <v>309</v>
      </c>
    </row>
    <row r="11" spans="1:19" ht="31.2" x14ac:dyDescent="0.25">
      <c r="A11" s="17"/>
      <c r="B11" s="18" t="s">
        <v>15</v>
      </c>
      <c r="C11" s="19">
        <f>950+N5+K16</f>
        <v>1215</v>
      </c>
      <c r="D11" s="20">
        <v>5</v>
      </c>
      <c r="E11" s="19">
        <f t="shared" si="5"/>
        <v>6075</v>
      </c>
      <c r="F11" s="17"/>
      <c r="I11" s="217"/>
      <c r="J11" s="217"/>
      <c r="K11" s="217"/>
      <c r="L11" s="217"/>
      <c r="M11" s="217"/>
      <c r="N11" s="217"/>
    </row>
    <row r="12" spans="1:19" ht="46.8" x14ac:dyDescent="0.25">
      <c r="A12" s="17"/>
      <c r="B12" s="18" t="s">
        <v>16</v>
      </c>
      <c r="C12" s="19">
        <f>4660+J21</f>
        <v>4997</v>
      </c>
      <c r="D12" s="20">
        <v>4</v>
      </c>
      <c r="E12" s="19">
        <f t="shared" si="5"/>
        <v>19988</v>
      </c>
      <c r="F12" s="17"/>
    </row>
    <row r="13" spans="1:19" s="12" customFormat="1" x14ac:dyDescent="0.25">
      <c r="A13" s="1">
        <v>1.2</v>
      </c>
      <c r="B13" s="16" t="s">
        <v>22</v>
      </c>
      <c r="C13" s="11">
        <f>C14+C15+C16</f>
        <v>3041</v>
      </c>
      <c r="D13" s="11"/>
      <c r="E13" s="11">
        <f t="shared" ref="E13" si="7">E14+E15+E16</f>
        <v>25304</v>
      </c>
      <c r="F13" s="1"/>
      <c r="I13" s="719" t="s">
        <v>595</v>
      </c>
      <c r="J13" s="720"/>
      <c r="K13" s="720"/>
      <c r="L13" s="720"/>
      <c r="M13" s="720"/>
      <c r="N13" s="720"/>
      <c r="O13" s="720"/>
      <c r="P13" s="720"/>
      <c r="Q13" s="720"/>
      <c r="R13" s="720"/>
      <c r="S13" s="721"/>
    </row>
    <row r="14" spans="1:19" ht="31.2" x14ac:dyDescent="0.25">
      <c r="A14" s="17"/>
      <c r="B14" s="18" t="s">
        <v>17</v>
      </c>
      <c r="C14" s="19">
        <v>27</v>
      </c>
      <c r="D14" s="20">
        <v>18</v>
      </c>
      <c r="E14" s="19">
        <f t="shared" si="5"/>
        <v>486</v>
      </c>
      <c r="F14" s="17"/>
      <c r="I14" s="725" t="s">
        <v>596</v>
      </c>
      <c r="J14" s="727" t="s">
        <v>4</v>
      </c>
      <c r="K14" s="727"/>
      <c r="L14" s="727" t="s">
        <v>6</v>
      </c>
      <c r="M14" s="727"/>
      <c r="N14" s="727" t="s">
        <v>7</v>
      </c>
      <c r="O14" s="727"/>
      <c r="P14" s="728" t="s">
        <v>8</v>
      </c>
      <c r="Q14" s="729"/>
      <c r="R14" s="728" t="s">
        <v>9</v>
      </c>
      <c r="S14" s="729"/>
    </row>
    <row r="15" spans="1:19" ht="31.2" x14ac:dyDescent="0.25">
      <c r="A15" s="17"/>
      <c r="B15" s="18" t="s">
        <v>18</v>
      </c>
      <c r="C15" s="19">
        <v>353</v>
      </c>
      <c r="D15" s="20">
        <v>10</v>
      </c>
      <c r="E15" s="19">
        <f t="shared" si="5"/>
        <v>3530</v>
      </c>
      <c r="F15" s="17"/>
      <c r="I15" s="726"/>
      <c r="J15" s="217" t="s">
        <v>593</v>
      </c>
      <c r="K15" s="217" t="s">
        <v>597</v>
      </c>
      <c r="L15" s="217" t="s">
        <v>593</v>
      </c>
      <c r="M15" s="217" t="s">
        <v>597</v>
      </c>
      <c r="N15" s="217" t="s">
        <v>593</v>
      </c>
      <c r="O15" s="217" t="s">
        <v>597</v>
      </c>
      <c r="P15" s="217" t="s">
        <v>593</v>
      </c>
      <c r="Q15" s="217" t="s">
        <v>597</v>
      </c>
      <c r="R15" s="217" t="s">
        <v>593</v>
      </c>
      <c r="S15" s="217" t="s">
        <v>597</v>
      </c>
    </row>
    <row r="16" spans="1:19" ht="46.8" x14ac:dyDescent="0.25">
      <c r="A16" s="17"/>
      <c r="B16" s="18" t="s">
        <v>19</v>
      </c>
      <c r="C16" s="19">
        <v>2661</v>
      </c>
      <c r="D16" s="20">
        <v>8</v>
      </c>
      <c r="E16" s="19">
        <f t="shared" si="5"/>
        <v>21288</v>
      </c>
      <c r="F16" s="17"/>
      <c r="I16" s="218" t="s">
        <v>598</v>
      </c>
      <c r="J16" s="217">
        <v>8</v>
      </c>
      <c r="K16" s="217">
        <v>257</v>
      </c>
      <c r="L16" s="217">
        <v>8</v>
      </c>
      <c r="M16" s="217">
        <v>257</v>
      </c>
      <c r="N16" s="217">
        <v>8</v>
      </c>
      <c r="O16" s="217">
        <v>257</v>
      </c>
      <c r="P16" s="217">
        <v>8</v>
      </c>
      <c r="Q16" s="217">
        <v>256</v>
      </c>
      <c r="R16" s="217">
        <v>8</v>
      </c>
      <c r="S16" s="217">
        <v>258</v>
      </c>
    </row>
    <row r="17" spans="1:19" x14ac:dyDescent="0.25">
      <c r="A17" s="219">
        <v>2</v>
      </c>
      <c r="B17" s="220" t="s">
        <v>6</v>
      </c>
      <c r="C17" s="221">
        <f>C18+C22</f>
        <v>10835</v>
      </c>
      <c r="D17" s="221"/>
      <c r="E17" s="221">
        <f t="shared" ref="E17" si="8">E18+E22</f>
        <v>60298</v>
      </c>
      <c r="F17" s="219"/>
      <c r="I17" s="218" t="s">
        <v>87</v>
      </c>
      <c r="J17" s="217"/>
      <c r="K17" s="217">
        <v>81</v>
      </c>
      <c r="L17" s="217"/>
      <c r="M17" s="217">
        <v>82</v>
      </c>
      <c r="N17" s="217"/>
      <c r="O17" s="217">
        <v>82</v>
      </c>
      <c r="P17" s="217"/>
      <c r="Q17" s="217">
        <v>82</v>
      </c>
      <c r="R17" s="217"/>
      <c r="S17" s="217">
        <v>82</v>
      </c>
    </row>
    <row r="18" spans="1:19" ht="31.2" x14ac:dyDescent="0.25">
      <c r="A18" s="1" t="s">
        <v>23</v>
      </c>
      <c r="B18" s="16" t="s">
        <v>21</v>
      </c>
      <c r="C18" s="11">
        <f>C19+C21+C20</f>
        <v>7701</v>
      </c>
      <c r="D18" s="11"/>
      <c r="E18" s="11">
        <f t="shared" ref="E18" si="9">E19+E21+E20</f>
        <v>34058</v>
      </c>
      <c r="F18" s="1"/>
    </row>
    <row r="19" spans="1:19" ht="31.2" x14ac:dyDescent="0.25">
      <c r="A19" s="17"/>
      <c r="B19" s="18" t="s">
        <v>14</v>
      </c>
      <c r="C19" s="19">
        <f>850+O6+L16</f>
        <v>886</v>
      </c>
      <c r="D19" s="20">
        <v>6</v>
      </c>
      <c r="E19" s="19">
        <f>C19*D19</f>
        <v>5316</v>
      </c>
      <c r="F19" s="17"/>
      <c r="I19" s="719" t="s">
        <v>578</v>
      </c>
      <c r="J19" s="720"/>
      <c r="K19" s="720"/>
      <c r="L19" s="720"/>
      <c r="M19" s="720"/>
      <c r="N19" s="721"/>
    </row>
    <row r="20" spans="1:19" ht="31.2" x14ac:dyDescent="0.25">
      <c r="A20" s="17"/>
      <c r="B20" s="18" t="s">
        <v>15</v>
      </c>
      <c r="C20" s="19">
        <f>1215+N6+M16</f>
        <v>1482</v>
      </c>
      <c r="D20" s="20">
        <v>5</v>
      </c>
      <c r="E20" s="19">
        <f t="shared" ref="E20:E21" si="10">C20*D20</f>
        <v>7410</v>
      </c>
      <c r="F20" s="17"/>
      <c r="I20" s="217"/>
      <c r="J20" s="217" t="s">
        <v>4</v>
      </c>
      <c r="K20" s="217" t="s">
        <v>6</v>
      </c>
      <c r="L20" s="217" t="s">
        <v>7</v>
      </c>
      <c r="M20" s="217" t="s">
        <v>8</v>
      </c>
      <c r="N20" s="217" t="s">
        <v>9</v>
      </c>
    </row>
    <row r="21" spans="1:19" ht="46.8" x14ac:dyDescent="0.25">
      <c r="A21" s="17"/>
      <c r="B21" s="18" t="s">
        <v>16</v>
      </c>
      <c r="C21" s="19">
        <f>4997+K21</f>
        <v>5333</v>
      </c>
      <c r="D21" s="20">
        <v>4</v>
      </c>
      <c r="E21" s="19">
        <f t="shared" si="10"/>
        <v>21332</v>
      </c>
      <c r="F21" s="17"/>
      <c r="I21" s="217"/>
      <c r="J21" s="217">
        <v>337</v>
      </c>
      <c r="K21" s="217">
        <v>336</v>
      </c>
      <c r="L21" s="217">
        <v>337</v>
      </c>
      <c r="M21" s="217">
        <v>336</v>
      </c>
      <c r="N21" s="217">
        <v>337</v>
      </c>
    </row>
    <row r="22" spans="1:19" x14ac:dyDescent="0.25">
      <c r="A22" s="1">
        <v>1.2</v>
      </c>
      <c r="B22" s="16" t="s">
        <v>22</v>
      </c>
      <c r="C22" s="11">
        <f>C23+C24+C25</f>
        <v>3134</v>
      </c>
      <c r="D22" s="11"/>
      <c r="E22" s="11">
        <f t="shared" ref="E22" si="11">E23+E24+E25</f>
        <v>26240</v>
      </c>
      <c r="F22" s="1"/>
    </row>
    <row r="23" spans="1:19" ht="31.2" x14ac:dyDescent="0.25">
      <c r="A23" s="17"/>
      <c r="B23" s="18" t="s">
        <v>17</v>
      </c>
      <c r="C23" s="19">
        <v>30</v>
      </c>
      <c r="D23" s="20">
        <v>18</v>
      </c>
      <c r="E23" s="19">
        <f>C23*D23</f>
        <v>540</v>
      </c>
      <c r="F23" s="17"/>
    </row>
    <row r="24" spans="1:19" ht="31.2" x14ac:dyDescent="0.25">
      <c r="A24" s="17"/>
      <c r="B24" s="18" t="s">
        <v>18</v>
      </c>
      <c r="C24" s="19">
        <f>353+K17</f>
        <v>434</v>
      </c>
      <c r="D24" s="20">
        <v>10</v>
      </c>
      <c r="E24" s="19">
        <f t="shared" ref="E24:E25" si="12">C24*D24</f>
        <v>4340</v>
      </c>
      <c r="F24" s="17"/>
    </row>
    <row r="25" spans="1:19" ht="46.8" x14ac:dyDescent="0.25">
      <c r="A25" s="17"/>
      <c r="B25" s="18" t="s">
        <v>19</v>
      </c>
      <c r="C25" s="19">
        <v>2670</v>
      </c>
      <c r="D25" s="20">
        <v>8</v>
      </c>
      <c r="E25" s="19">
        <f t="shared" si="12"/>
        <v>21360</v>
      </c>
      <c r="F25" s="17"/>
    </row>
    <row r="26" spans="1:19" x14ac:dyDescent="0.25">
      <c r="A26" s="219">
        <v>3</v>
      </c>
      <c r="B26" s="220" t="s">
        <v>7</v>
      </c>
      <c r="C26" s="221">
        <f>C27+C31</f>
        <v>11479</v>
      </c>
      <c r="D26" s="221"/>
      <c r="E26" s="221">
        <f t="shared" ref="E26" si="13">E27+E31</f>
        <v>63784</v>
      </c>
      <c r="F26" s="219"/>
    </row>
    <row r="27" spans="1:19" ht="31.2" x14ac:dyDescent="0.25">
      <c r="A27" s="1" t="s">
        <v>23</v>
      </c>
      <c r="B27" s="16" t="s">
        <v>21</v>
      </c>
      <c r="C27" s="11">
        <f>C28+C30+C29</f>
        <v>8232</v>
      </c>
      <c r="D27" s="11"/>
      <c r="E27" s="11">
        <f t="shared" ref="E27" si="14">E28+E30+E29</f>
        <v>36476</v>
      </c>
      <c r="F27" s="1"/>
    </row>
    <row r="28" spans="1:19" ht="31.2" x14ac:dyDescent="0.25">
      <c r="A28" s="17"/>
      <c r="B28" s="18" t="s">
        <v>14</v>
      </c>
      <c r="C28" s="19">
        <f>886+O7+N16</f>
        <v>986</v>
      </c>
      <c r="D28" s="20">
        <v>6</v>
      </c>
      <c r="E28" s="19">
        <f>C28*D28</f>
        <v>5916</v>
      </c>
      <c r="F28" s="17"/>
    </row>
    <row r="29" spans="1:19" ht="31.2" x14ac:dyDescent="0.25">
      <c r="A29" s="17"/>
      <c r="B29" s="18" t="s">
        <v>15</v>
      </c>
      <c r="C29" s="19">
        <f>1482+N7+O17</f>
        <v>1576</v>
      </c>
      <c r="D29" s="20">
        <v>5</v>
      </c>
      <c r="E29" s="19">
        <f t="shared" ref="E29:E30" si="15">C29*D29</f>
        <v>7880</v>
      </c>
      <c r="F29" s="17"/>
    </row>
    <row r="30" spans="1:19" ht="46.8" x14ac:dyDescent="0.25">
      <c r="A30" s="17"/>
      <c r="B30" s="18" t="s">
        <v>16</v>
      </c>
      <c r="C30" s="19">
        <f>5333+L21</f>
        <v>5670</v>
      </c>
      <c r="D30" s="20">
        <v>4</v>
      </c>
      <c r="E30" s="19">
        <f t="shared" si="15"/>
        <v>22680</v>
      </c>
      <c r="F30" s="17"/>
    </row>
    <row r="31" spans="1:19" x14ac:dyDescent="0.25">
      <c r="A31" s="1">
        <v>1.2</v>
      </c>
      <c r="B31" s="16" t="s">
        <v>22</v>
      </c>
      <c r="C31" s="11">
        <f>C32+C33+C34</f>
        <v>3247</v>
      </c>
      <c r="D31" s="11"/>
      <c r="E31" s="11">
        <f t="shared" ref="E31" si="16">E32+E33+E34</f>
        <v>27308</v>
      </c>
      <c r="F31" s="1"/>
    </row>
    <row r="32" spans="1:19" ht="31.2" x14ac:dyDescent="0.25">
      <c r="A32" s="17"/>
      <c r="B32" s="18" t="s">
        <v>17</v>
      </c>
      <c r="C32" s="19">
        <v>30</v>
      </c>
      <c r="D32" s="20">
        <v>18</v>
      </c>
      <c r="E32" s="19">
        <f>C32*D32</f>
        <v>540</v>
      </c>
      <c r="F32" s="17"/>
    </row>
    <row r="33" spans="1:6" ht="31.2" x14ac:dyDescent="0.25">
      <c r="A33" s="17"/>
      <c r="B33" s="18" t="s">
        <v>18</v>
      </c>
      <c r="C33" s="19">
        <f>434+O17</f>
        <v>516</v>
      </c>
      <c r="D33" s="20">
        <v>10</v>
      </c>
      <c r="E33" s="19">
        <f t="shared" ref="E33:E34" si="17">C33*D33</f>
        <v>5160</v>
      </c>
      <c r="F33" s="17"/>
    </row>
    <row r="34" spans="1:6" ht="46.8" x14ac:dyDescent="0.25">
      <c r="A34" s="17"/>
      <c r="B34" s="18" t="s">
        <v>19</v>
      </c>
      <c r="C34" s="19">
        <v>2701</v>
      </c>
      <c r="D34" s="20">
        <v>8</v>
      </c>
      <c r="E34" s="19">
        <f t="shared" si="17"/>
        <v>21608</v>
      </c>
      <c r="F34" s="17"/>
    </row>
    <row r="35" spans="1:6" x14ac:dyDescent="0.25">
      <c r="A35" s="219">
        <v>4</v>
      </c>
      <c r="B35" s="220" t="s">
        <v>8</v>
      </c>
      <c r="C35" s="221">
        <f>C36+C40</f>
        <v>2182</v>
      </c>
      <c r="D35" s="221">
        <f t="shared" ref="D35:E35" si="18">D36+D40</f>
        <v>0</v>
      </c>
      <c r="E35" s="221">
        <f t="shared" si="18"/>
        <v>11631</v>
      </c>
      <c r="F35" s="219"/>
    </row>
    <row r="36" spans="1:6" ht="31.2" x14ac:dyDescent="0.25">
      <c r="A36" s="1" t="s">
        <v>23</v>
      </c>
      <c r="B36" s="16" t="s">
        <v>21</v>
      </c>
      <c r="C36" s="11">
        <f>C37+C38+C39</f>
        <v>1849</v>
      </c>
      <c r="D36" s="11"/>
      <c r="E36" s="11">
        <f t="shared" ref="E36" si="19">E37+E38+E39</f>
        <v>8447</v>
      </c>
      <c r="F36" s="1"/>
    </row>
    <row r="37" spans="1:6" ht="31.2" x14ac:dyDescent="0.25">
      <c r="A37" s="17"/>
      <c r="B37" s="18" t="s">
        <v>14</v>
      </c>
      <c r="C37" s="19">
        <f>986-C10+O8+P16</f>
        <v>211</v>
      </c>
      <c r="D37" s="20">
        <v>6</v>
      </c>
      <c r="E37" s="19">
        <f>C37*D37</f>
        <v>1266</v>
      </c>
      <c r="F37" s="17"/>
    </row>
    <row r="38" spans="1:6" ht="31.2" x14ac:dyDescent="0.25">
      <c r="A38" s="17"/>
      <c r="B38" s="18" t="s">
        <v>15</v>
      </c>
      <c r="C38" s="19">
        <f>1576-C11+N8+Q16</f>
        <v>629</v>
      </c>
      <c r="D38" s="20">
        <v>5</v>
      </c>
      <c r="E38" s="19">
        <f t="shared" ref="E38:E39" si="20">C38*D38</f>
        <v>3145</v>
      </c>
      <c r="F38" s="17"/>
    </row>
    <row r="39" spans="1:6" ht="46.8" x14ac:dyDescent="0.25">
      <c r="A39" s="17"/>
      <c r="B39" s="18" t="s">
        <v>16</v>
      </c>
      <c r="C39" s="19">
        <f>5670-C12+M21</f>
        <v>1009</v>
      </c>
      <c r="D39" s="20">
        <v>4</v>
      </c>
      <c r="E39" s="19">
        <f t="shared" si="20"/>
        <v>4036</v>
      </c>
      <c r="F39" s="17"/>
    </row>
    <row r="40" spans="1:6" x14ac:dyDescent="0.25">
      <c r="A40" s="1">
        <v>1.2</v>
      </c>
      <c r="B40" s="16" t="s">
        <v>22</v>
      </c>
      <c r="C40" s="11">
        <f>C41+C42+C43</f>
        <v>333</v>
      </c>
      <c r="D40" s="11"/>
      <c r="E40" s="11">
        <f t="shared" ref="E40" si="21">E41+E42+E43</f>
        <v>3184</v>
      </c>
      <c r="F40" s="1"/>
    </row>
    <row r="41" spans="1:6" ht="31.2" x14ac:dyDescent="0.25">
      <c r="A41" s="17"/>
      <c r="B41" s="18" t="s">
        <v>17</v>
      </c>
      <c r="C41" s="19">
        <v>3</v>
      </c>
      <c r="D41" s="20">
        <v>18</v>
      </c>
      <c r="E41" s="19">
        <f>C41*D41</f>
        <v>54</v>
      </c>
      <c r="F41" s="17"/>
    </row>
    <row r="42" spans="1:6" ht="31.2" x14ac:dyDescent="0.25">
      <c r="A42" s="17"/>
      <c r="B42" s="18" t="s">
        <v>18</v>
      </c>
      <c r="C42" s="19">
        <f>516-C15+Q17</f>
        <v>245</v>
      </c>
      <c r="D42" s="20">
        <v>10</v>
      </c>
      <c r="E42" s="19">
        <f t="shared" ref="E42:E43" si="22">C42*D42</f>
        <v>2450</v>
      </c>
      <c r="F42" s="17"/>
    </row>
    <row r="43" spans="1:6" ht="46.8" x14ac:dyDescent="0.25">
      <c r="A43" s="17"/>
      <c r="B43" s="18" t="s">
        <v>19</v>
      </c>
      <c r="C43" s="19">
        <f>2701-C16+45</f>
        <v>85</v>
      </c>
      <c r="D43" s="20">
        <v>8</v>
      </c>
      <c r="E43" s="19">
        <f t="shared" si="22"/>
        <v>680</v>
      </c>
      <c r="F43" s="17"/>
    </row>
    <row r="44" spans="1:6" x14ac:dyDescent="0.25">
      <c r="A44" s="219">
        <v>5</v>
      </c>
      <c r="B44" s="220" t="s">
        <v>9</v>
      </c>
      <c r="C44" s="221">
        <f>C45+C49</f>
        <v>2180</v>
      </c>
      <c r="D44" s="221">
        <f t="shared" ref="D44:E44" si="23">D45+D49</f>
        <v>0</v>
      </c>
      <c r="E44" s="221">
        <f t="shared" si="23"/>
        <v>11510</v>
      </c>
      <c r="F44" s="219"/>
    </row>
    <row r="45" spans="1:6" ht="31.2" x14ac:dyDescent="0.25">
      <c r="A45" s="1" t="s">
        <v>23</v>
      </c>
      <c r="B45" s="16" t="s">
        <v>21</v>
      </c>
      <c r="C45" s="11">
        <f>C46+C47+C48</f>
        <v>1897</v>
      </c>
      <c r="D45" s="11"/>
      <c r="E45" s="11">
        <f t="shared" ref="E45" si="24">E46+E47+E48</f>
        <v>8726</v>
      </c>
      <c r="F45" s="1"/>
    </row>
    <row r="46" spans="1:6" ht="31.2" x14ac:dyDescent="0.25">
      <c r="A46" s="17"/>
      <c r="B46" s="18" t="s">
        <v>14</v>
      </c>
      <c r="C46" s="19">
        <f>211+O9+R16-O6-J16</f>
        <v>250</v>
      </c>
      <c r="D46" s="20">
        <v>6</v>
      </c>
      <c r="E46" s="19">
        <f>D46*C46</f>
        <v>1500</v>
      </c>
      <c r="F46" s="17"/>
    </row>
    <row r="47" spans="1:6" ht="31.2" x14ac:dyDescent="0.25">
      <c r="A47" s="17"/>
      <c r="B47" s="18" t="s">
        <v>15</v>
      </c>
      <c r="C47" s="19">
        <f>629+N9+S16-N5-K16</f>
        <v>638</v>
      </c>
      <c r="D47" s="20">
        <v>5</v>
      </c>
      <c r="E47" s="19">
        <f t="shared" ref="E47:E52" si="25">D47*C47</f>
        <v>3190</v>
      </c>
      <c r="F47" s="17"/>
    </row>
    <row r="48" spans="1:6" ht="46.8" x14ac:dyDescent="0.25">
      <c r="A48" s="17"/>
      <c r="B48" s="18" t="s">
        <v>16</v>
      </c>
      <c r="C48" s="19">
        <f>1009+N21-J21</f>
        <v>1009</v>
      </c>
      <c r="D48" s="20">
        <v>4</v>
      </c>
      <c r="E48" s="19">
        <f t="shared" si="25"/>
        <v>4036</v>
      </c>
      <c r="F48" s="17"/>
    </row>
    <row r="49" spans="1:6" x14ac:dyDescent="0.25">
      <c r="A49" s="1">
        <v>1.2</v>
      </c>
      <c r="B49" s="16" t="s">
        <v>22</v>
      </c>
      <c r="C49" s="11">
        <f>C50+C51+C52</f>
        <v>283</v>
      </c>
      <c r="D49" s="11"/>
      <c r="E49" s="11">
        <f t="shared" ref="E49" si="26">E50+E51+E52</f>
        <v>2784</v>
      </c>
      <c r="F49" s="1"/>
    </row>
    <row r="50" spans="1:6" ht="31.2" x14ac:dyDescent="0.25">
      <c r="A50" s="17"/>
      <c r="B50" s="18" t="s">
        <v>17</v>
      </c>
      <c r="C50" s="19">
        <v>3</v>
      </c>
      <c r="D50" s="20">
        <v>18</v>
      </c>
      <c r="E50" s="19">
        <f t="shared" si="25"/>
        <v>54</v>
      </c>
      <c r="F50" s="17"/>
    </row>
    <row r="51" spans="1:6" ht="31.2" x14ac:dyDescent="0.25">
      <c r="A51" s="17"/>
      <c r="B51" s="18" t="s">
        <v>18</v>
      </c>
      <c r="C51" s="19">
        <f>245+S17-M17</f>
        <v>245</v>
      </c>
      <c r="D51" s="20">
        <v>10</v>
      </c>
      <c r="E51" s="19">
        <f t="shared" si="25"/>
        <v>2450</v>
      </c>
      <c r="F51" s="17"/>
    </row>
    <row r="52" spans="1:6" ht="46.8" x14ac:dyDescent="0.25">
      <c r="A52" s="17"/>
      <c r="B52" s="18" t="s">
        <v>19</v>
      </c>
      <c r="C52" s="19">
        <v>35</v>
      </c>
      <c r="D52" s="20">
        <v>8</v>
      </c>
      <c r="E52" s="19">
        <f t="shared" si="25"/>
        <v>280</v>
      </c>
      <c r="F52" s="17"/>
    </row>
    <row r="53" spans="1:6" x14ac:dyDescent="0.25">
      <c r="B53" s="21"/>
      <c r="C53" s="22"/>
      <c r="D53" s="23"/>
      <c r="E53" s="24"/>
    </row>
    <row r="54" spans="1:6" x14ac:dyDescent="0.25">
      <c r="A54" s="722" t="s">
        <v>535</v>
      </c>
      <c r="B54" s="722"/>
      <c r="C54" s="722"/>
      <c r="D54" s="722"/>
      <c r="E54" s="722"/>
      <c r="F54" s="722"/>
    </row>
    <row r="55" spans="1:6" x14ac:dyDescent="0.25">
      <c r="B55" s="21"/>
      <c r="C55" s="22"/>
      <c r="D55" s="23"/>
      <c r="E55" s="24"/>
    </row>
    <row r="56" spans="1:6" x14ac:dyDescent="0.25">
      <c r="B56" s="21"/>
      <c r="C56" s="22"/>
      <c r="D56" s="23"/>
      <c r="E56" s="24"/>
    </row>
    <row r="57" spans="1:6" x14ac:dyDescent="0.25">
      <c r="B57" s="21"/>
      <c r="C57" s="22"/>
      <c r="D57" s="23"/>
      <c r="E57" s="24"/>
    </row>
    <row r="58" spans="1:6" x14ac:dyDescent="0.25">
      <c r="B58" s="21"/>
      <c r="C58" s="22"/>
      <c r="D58" s="23"/>
      <c r="E58" s="24"/>
    </row>
    <row r="59" spans="1:6" x14ac:dyDescent="0.25">
      <c r="B59" s="21"/>
      <c r="C59" s="22"/>
      <c r="D59" s="23"/>
      <c r="E59" s="24"/>
    </row>
    <row r="60" spans="1:6" x14ac:dyDescent="0.25">
      <c r="B60" s="21"/>
      <c r="C60" s="22"/>
      <c r="D60" s="23"/>
      <c r="E60" s="24"/>
    </row>
    <row r="61" spans="1:6" x14ac:dyDescent="0.25">
      <c r="B61" s="21"/>
      <c r="C61" s="22"/>
      <c r="D61" s="23"/>
      <c r="E61" s="24"/>
    </row>
    <row r="62" spans="1:6" x14ac:dyDescent="0.25">
      <c r="B62" s="21"/>
      <c r="C62" s="22"/>
      <c r="D62" s="23"/>
      <c r="E62" s="24"/>
    </row>
    <row r="63" spans="1:6" x14ac:dyDescent="0.25">
      <c r="B63" s="21"/>
      <c r="C63" s="22"/>
      <c r="D63" s="23"/>
      <c r="E63" s="24"/>
    </row>
    <row r="64" spans="1:6" x14ac:dyDescent="0.25">
      <c r="B64" s="21"/>
      <c r="C64" s="22"/>
      <c r="D64" s="23"/>
      <c r="E64" s="24"/>
    </row>
    <row r="65" spans="2:5" x14ac:dyDescent="0.25">
      <c r="B65" s="21"/>
      <c r="C65" s="22"/>
      <c r="D65" s="23"/>
      <c r="E65" s="24"/>
    </row>
    <row r="66" spans="2:5" x14ac:dyDescent="0.25">
      <c r="B66" s="21"/>
      <c r="C66" s="22"/>
      <c r="D66" s="23"/>
      <c r="E66" s="24"/>
    </row>
    <row r="67" spans="2:5" x14ac:dyDescent="0.25">
      <c r="B67" s="21"/>
      <c r="C67" s="22"/>
      <c r="D67" s="23"/>
      <c r="E67" s="24"/>
    </row>
    <row r="68" spans="2:5" x14ac:dyDescent="0.25">
      <c r="B68" s="21"/>
      <c r="C68" s="22"/>
      <c r="D68" s="23"/>
      <c r="E68" s="24"/>
    </row>
    <row r="71" spans="2:5" ht="72.599999999999994" customHeight="1" x14ac:dyDescent="0.25"/>
    <row r="72" spans="2:5" ht="124.8" x14ac:dyDescent="0.25">
      <c r="B72" s="16" t="s">
        <v>13</v>
      </c>
    </row>
  </sheetData>
  <mergeCells count="12">
    <mergeCell ref="I19:N19"/>
    <mergeCell ref="A54:F54"/>
    <mergeCell ref="A1:F1"/>
    <mergeCell ref="I3:N3"/>
    <mergeCell ref="I13:S13"/>
    <mergeCell ref="I14:I15"/>
    <mergeCell ref="J14:K14"/>
    <mergeCell ref="L14:M14"/>
    <mergeCell ref="N14:O14"/>
    <mergeCell ref="P14:Q14"/>
    <mergeCell ref="R14:S14"/>
    <mergeCell ref="A2:F2"/>
  </mergeCells>
  <pageMargins left="0.45" right="0.2" top="0.5" bottom="0.69" header="0.31496062992126" footer="0.31496062992126"/>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K70"/>
  <sheetViews>
    <sheetView topLeftCell="A16" zoomScale="60" zoomScaleNormal="60" zoomScaleSheetLayoutView="25" zoomScalePageLayoutView="82" workbookViewId="0">
      <selection activeCell="K6" sqref="K6"/>
    </sheetView>
  </sheetViews>
  <sheetFormatPr defaultColWidth="8.6640625" defaultRowHeight="16.8" outlineLevelRow="1" x14ac:dyDescent="0.3"/>
  <cols>
    <col min="1" max="1" width="8.6640625" style="184"/>
    <col min="2" max="2" width="64" style="214" customWidth="1"/>
    <col min="3" max="3" width="13.33203125" style="185" customWidth="1"/>
    <col min="4" max="4" width="13.33203125" style="186" customWidth="1"/>
    <col min="5" max="7" width="13.33203125" style="187" customWidth="1"/>
    <col min="8" max="8" width="13.33203125" style="186" customWidth="1"/>
    <col min="9" max="11" width="13.33203125" style="187" customWidth="1"/>
    <col min="12" max="12" width="13.33203125" style="186" customWidth="1"/>
    <col min="13" max="15" width="13.33203125" style="187" customWidth="1"/>
    <col min="16" max="16" width="11.33203125" style="186" customWidth="1"/>
    <col min="17" max="19" width="13.33203125" style="187" customWidth="1"/>
    <col min="20" max="20" width="10.44140625" style="186" customWidth="1"/>
    <col min="21" max="21" width="13.33203125" style="187" customWidth="1"/>
    <col min="22" max="22" width="11.33203125" style="187" customWidth="1"/>
    <col min="23" max="23" width="13.33203125" style="187" customWidth="1"/>
    <col min="24" max="24" width="10.5546875" style="187" customWidth="1"/>
    <col min="25" max="25" width="13.33203125" style="187" customWidth="1"/>
    <col min="26" max="26" width="10.33203125" style="187" customWidth="1"/>
    <col min="27" max="27" width="13.33203125" style="187" customWidth="1"/>
    <col min="28" max="28" width="12.5546875" style="187" customWidth="1"/>
    <col min="29" max="29" width="13.33203125" style="187" customWidth="1"/>
    <col min="30" max="30" width="13.33203125" style="188" customWidth="1"/>
    <col min="31" max="31" width="13.33203125" style="187" customWidth="1"/>
    <col min="32" max="33" width="20.44140625" style="182" customWidth="1"/>
    <col min="34" max="34" width="13" style="184" customWidth="1"/>
    <col min="35" max="35" width="17.33203125" style="184" customWidth="1"/>
    <col min="36" max="36" width="12.5546875" style="184" customWidth="1"/>
    <col min="37" max="37" width="19.44140625" style="184" customWidth="1"/>
    <col min="38" max="16384" width="8.6640625" style="184"/>
  </cols>
  <sheetData>
    <row r="1" spans="1:37" s="176" customFormat="1" ht="37.950000000000003" customHeight="1" x14ac:dyDescent="0.3">
      <c r="A1" s="746" t="s">
        <v>659</v>
      </c>
      <c r="B1" s="746"/>
      <c r="C1" s="746"/>
      <c r="D1" s="746"/>
      <c r="E1" s="746"/>
      <c r="F1" s="746"/>
      <c r="G1" s="746"/>
      <c r="H1" s="746"/>
      <c r="I1" s="746"/>
      <c r="J1" s="746"/>
      <c r="K1" s="746"/>
      <c r="L1" s="746"/>
      <c r="M1" s="746"/>
      <c r="N1" s="746"/>
      <c r="O1" s="746"/>
      <c r="P1" s="435"/>
      <c r="Q1" s="435"/>
      <c r="R1" s="435"/>
      <c r="S1" s="435"/>
      <c r="T1" s="435"/>
      <c r="U1" s="435"/>
      <c r="V1" s="435"/>
      <c r="W1" s="435"/>
      <c r="X1" s="435"/>
      <c r="Y1" s="435"/>
      <c r="Z1" s="435"/>
      <c r="AA1" s="435"/>
      <c r="AB1" s="435"/>
      <c r="AC1" s="435"/>
      <c r="AD1" s="178"/>
      <c r="AE1" s="177"/>
    </row>
    <row r="2" spans="1:37" s="176" customFormat="1" ht="37.950000000000003" customHeight="1" x14ac:dyDescent="0.3">
      <c r="A2" s="747" t="s">
        <v>610</v>
      </c>
      <c r="B2" s="747"/>
      <c r="C2" s="747"/>
      <c r="D2" s="747"/>
      <c r="E2" s="747"/>
      <c r="F2" s="747"/>
      <c r="G2" s="747"/>
      <c r="H2" s="747"/>
      <c r="I2" s="747"/>
      <c r="J2" s="747"/>
      <c r="K2" s="747"/>
      <c r="L2" s="747"/>
      <c r="M2" s="747"/>
      <c r="N2" s="747"/>
      <c r="O2" s="747"/>
      <c r="P2" s="436"/>
      <c r="Q2" s="436"/>
      <c r="R2" s="436"/>
      <c r="S2" s="436"/>
      <c r="T2" s="436"/>
      <c r="U2" s="436"/>
      <c r="V2" s="436"/>
      <c r="W2" s="436"/>
      <c r="X2" s="436"/>
      <c r="Y2" s="436"/>
      <c r="Z2" s="436"/>
      <c r="AA2" s="436"/>
      <c r="AB2" s="436"/>
      <c r="AC2" s="436"/>
      <c r="AD2" s="178"/>
      <c r="AE2" s="177"/>
    </row>
    <row r="3" spans="1:37" s="176" customFormat="1" ht="37.950000000000003" customHeight="1" x14ac:dyDescent="0.3">
      <c r="A3" s="412"/>
      <c r="B3" s="272"/>
      <c r="C3" s="272"/>
      <c r="D3" s="272"/>
      <c r="E3" s="272"/>
      <c r="F3" s="272"/>
      <c r="G3" s="272"/>
      <c r="H3" s="272"/>
      <c r="I3" s="272"/>
      <c r="J3" s="272"/>
      <c r="K3" s="272"/>
      <c r="L3" s="748" t="s">
        <v>615</v>
      </c>
      <c r="M3" s="748"/>
      <c r="N3" s="748"/>
      <c r="O3" s="748"/>
      <c r="P3" s="272"/>
      <c r="Q3" s="272"/>
      <c r="R3" s="272"/>
      <c r="S3" s="272"/>
      <c r="T3" s="272"/>
      <c r="U3" s="272"/>
      <c r="V3" s="272"/>
      <c r="W3" s="272"/>
      <c r="X3" s="272"/>
      <c r="Y3" s="272"/>
      <c r="Z3" s="437"/>
      <c r="AA3" s="437"/>
      <c r="AB3" s="437"/>
      <c r="AC3" s="437"/>
      <c r="AD3" s="131"/>
      <c r="AE3" s="131"/>
      <c r="AF3" s="131"/>
      <c r="AG3" s="179"/>
    </row>
    <row r="4" spans="1:37" s="176" customFormat="1" ht="37.950000000000003" customHeight="1" x14ac:dyDescent="0.3">
      <c r="A4" s="180"/>
      <c r="B4" s="740" t="s">
        <v>0</v>
      </c>
      <c r="C4" s="743" t="s">
        <v>1</v>
      </c>
      <c r="D4" s="733" t="s">
        <v>4</v>
      </c>
      <c r="E4" s="733"/>
      <c r="F4" s="733"/>
      <c r="G4" s="733"/>
      <c r="H4" s="733" t="s">
        <v>6</v>
      </c>
      <c r="I4" s="733"/>
      <c r="J4" s="733"/>
      <c r="K4" s="733"/>
      <c r="L4" s="733" t="s">
        <v>7</v>
      </c>
      <c r="M4" s="733"/>
      <c r="N4" s="733"/>
      <c r="O4" s="733"/>
      <c r="P4" s="733" t="s">
        <v>8</v>
      </c>
      <c r="Q4" s="733"/>
      <c r="R4" s="733"/>
      <c r="S4" s="733"/>
      <c r="T4" s="733" t="s">
        <v>9</v>
      </c>
      <c r="U4" s="733"/>
      <c r="V4" s="733"/>
      <c r="W4" s="733"/>
      <c r="X4" s="733" t="s">
        <v>618</v>
      </c>
      <c r="Y4" s="733"/>
      <c r="Z4" s="733"/>
      <c r="AA4" s="733"/>
      <c r="AB4" s="733"/>
      <c r="AC4" s="733"/>
      <c r="AD4" s="180"/>
      <c r="AE4" s="735"/>
      <c r="AF4" s="735"/>
      <c r="AG4" s="735"/>
    </row>
    <row r="5" spans="1:37" s="176" customFormat="1" ht="37.950000000000003" customHeight="1" x14ac:dyDescent="0.3">
      <c r="A5" s="736"/>
      <c r="B5" s="741"/>
      <c r="C5" s="744"/>
      <c r="D5" s="734" t="s">
        <v>163</v>
      </c>
      <c r="E5" s="734"/>
      <c r="F5" s="738" t="s">
        <v>164</v>
      </c>
      <c r="G5" s="739"/>
      <c r="H5" s="734" t="s">
        <v>163</v>
      </c>
      <c r="I5" s="734"/>
      <c r="J5" s="738" t="s">
        <v>164</v>
      </c>
      <c r="K5" s="739"/>
      <c r="L5" s="734" t="s">
        <v>163</v>
      </c>
      <c r="M5" s="734"/>
      <c r="N5" s="738" t="s">
        <v>164</v>
      </c>
      <c r="O5" s="739"/>
      <c r="P5" s="734" t="s">
        <v>163</v>
      </c>
      <c r="Q5" s="734"/>
      <c r="R5" s="738" t="s">
        <v>164</v>
      </c>
      <c r="S5" s="739"/>
      <c r="T5" s="734" t="s">
        <v>163</v>
      </c>
      <c r="U5" s="734"/>
      <c r="V5" s="738" t="s">
        <v>164</v>
      </c>
      <c r="W5" s="739"/>
      <c r="X5" s="734" t="s">
        <v>163</v>
      </c>
      <c r="Y5" s="734"/>
      <c r="Z5" s="738" t="s">
        <v>164</v>
      </c>
      <c r="AA5" s="739"/>
      <c r="AB5" s="734" t="s">
        <v>538</v>
      </c>
      <c r="AC5" s="734"/>
      <c r="AD5" s="130"/>
      <c r="AE5" s="749" t="s">
        <v>560</v>
      </c>
      <c r="AF5" s="749"/>
      <c r="AG5" s="749"/>
      <c r="AH5" s="749"/>
      <c r="AI5" s="749"/>
      <c r="AJ5" s="749"/>
      <c r="AK5" s="749"/>
    </row>
    <row r="6" spans="1:37" s="181" customFormat="1" ht="105.6" customHeight="1" x14ac:dyDescent="0.3">
      <c r="A6" s="737"/>
      <c r="B6" s="742"/>
      <c r="C6" s="745"/>
      <c r="D6" s="414" t="s">
        <v>532</v>
      </c>
      <c r="E6" s="413" t="s">
        <v>5</v>
      </c>
      <c r="F6" s="414" t="s">
        <v>532</v>
      </c>
      <c r="G6" s="413" t="s">
        <v>5</v>
      </c>
      <c r="H6" s="414" t="s">
        <v>532</v>
      </c>
      <c r="I6" s="413" t="s">
        <v>5</v>
      </c>
      <c r="J6" s="414" t="s">
        <v>532</v>
      </c>
      <c r="K6" s="413" t="s">
        <v>5</v>
      </c>
      <c r="L6" s="414" t="s">
        <v>532</v>
      </c>
      <c r="M6" s="413" t="s">
        <v>5</v>
      </c>
      <c r="N6" s="414" t="s">
        <v>532</v>
      </c>
      <c r="O6" s="413" t="s">
        <v>5</v>
      </c>
      <c r="P6" s="414" t="s">
        <v>532</v>
      </c>
      <c r="Q6" s="413" t="s">
        <v>5</v>
      </c>
      <c r="R6" s="414" t="s">
        <v>532</v>
      </c>
      <c r="S6" s="413" t="s">
        <v>5</v>
      </c>
      <c r="T6" s="414" t="s">
        <v>532</v>
      </c>
      <c r="U6" s="413" t="s">
        <v>5</v>
      </c>
      <c r="V6" s="414" t="s">
        <v>532</v>
      </c>
      <c r="W6" s="413" t="s">
        <v>5</v>
      </c>
      <c r="X6" s="414" t="s">
        <v>532</v>
      </c>
      <c r="Y6" s="413" t="s">
        <v>5</v>
      </c>
      <c r="Z6" s="414" t="s">
        <v>532</v>
      </c>
      <c r="AA6" s="413" t="s">
        <v>5</v>
      </c>
      <c r="AB6" s="414" t="s">
        <v>532</v>
      </c>
      <c r="AC6" s="413" t="s">
        <v>5</v>
      </c>
      <c r="AD6" s="195"/>
      <c r="AE6" s="750" t="s">
        <v>158</v>
      </c>
      <c r="AF6" s="751" t="s">
        <v>163</v>
      </c>
      <c r="AG6" s="751"/>
      <c r="AH6" s="752" t="s">
        <v>164</v>
      </c>
      <c r="AI6" s="752"/>
      <c r="AJ6" s="752" t="s">
        <v>533</v>
      </c>
      <c r="AK6" s="752"/>
    </row>
    <row r="7" spans="1:37" s="198" customFormat="1" x14ac:dyDescent="0.3">
      <c r="A7" s="415" t="s">
        <v>561</v>
      </c>
      <c r="B7" s="416" t="s">
        <v>562</v>
      </c>
      <c r="C7" s="417"/>
      <c r="D7" s="447">
        <f>D10+D23+D36</f>
        <v>72</v>
      </c>
      <c r="E7" s="418">
        <f t="shared" ref="E7:W7" si="0">E10+E23+E36</f>
        <v>11510</v>
      </c>
      <c r="F7" s="447">
        <f t="shared" si="0"/>
        <v>191</v>
      </c>
      <c r="G7" s="418">
        <f t="shared" si="0"/>
        <v>33380</v>
      </c>
      <c r="H7" s="447">
        <f t="shared" si="0"/>
        <v>72</v>
      </c>
      <c r="I7" s="418">
        <f t="shared" si="0"/>
        <v>11340</v>
      </c>
      <c r="J7" s="447">
        <f t="shared" si="0"/>
        <v>197</v>
      </c>
      <c r="K7" s="418">
        <f t="shared" si="0"/>
        <v>34850</v>
      </c>
      <c r="L7" s="447">
        <f t="shared" si="0"/>
        <v>72</v>
      </c>
      <c r="M7" s="418">
        <f t="shared" si="0"/>
        <v>11310</v>
      </c>
      <c r="N7" s="447">
        <f t="shared" si="0"/>
        <v>171</v>
      </c>
      <c r="O7" s="418">
        <f t="shared" si="0"/>
        <v>28950</v>
      </c>
      <c r="P7" s="447">
        <f t="shared" si="0"/>
        <v>72</v>
      </c>
      <c r="Q7" s="418">
        <f t="shared" si="0"/>
        <v>11560</v>
      </c>
      <c r="R7" s="447">
        <f t="shared" si="0"/>
        <v>152</v>
      </c>
      <c r="S7" s="418">
        <f t="shared" si="0"/>
        <v>24650</v>
      </c>
      <c r="T7" s="447">
        <f t="shared" si="0"/>
        <v>71</v>
      </c>
      <c r="U7" s="418">
        <f t="shared" si="0"/>
        <v>11160</v>
      </c>
      <c r="V7" s="447">
        <f t="shared" si="0"/>
        <v>152</v>
      </c>
      <c r="W7" s="418">
        <f t="shared" si="0"/>
        <v>24600</v>
      </c>
      <c r="X7" s="438">
        <f>D7+H7+L7+P7+T7</f>
        <v>359</v>
      </c>
      <c r="Y7" s="438">
        <f t="shared" ref="Y7:AA24" si="1">E7+I7+M7+Q7+U7</f>
        <v>56880</v>
      </c>
      <c r="Z7" s="438">
        <f t="shared" si="1"/>
        <v>863</v>
      </c>
      <c r="AA7" s="438">
        <f t="shared" si="1"/>
        <v>146430</v>
      </c>
      <c r="AB7" s="439">
        <f>X7+Z7</f>
        <v>1222</v>
      </c>
      <c r="AC7" s="439">
        <f>Y7+AA7</f>
        <v>203310</v>
      </c>
      <c r="AD7" s="195"/>
      <c r="AE7" s="750"/>
      <c r="AF7" s="193" t="s">
        <v>532</v>
      </c>
      <c r="AG7" s="194" t="s">
        <v>5</v>
      </c>
      <c r="AH7" s="191" t="s">
        <v>532</v>
      </c>
      <c r="AI7" s="192" t="s">
        <v>5</v>
      </c>
      <c r="AJ7" s="191" t="s">
        <v>532</v>
      </c>
      <c r="AK7" s="192" t="s">
        <v>5</v>
      </c>
    </row>
    <row r="8" spans="1:37" s="198" customFormat="1" x14ac:dyDescent="0.3">
      <c r="A8" s="420">
        <v>1</v>
      </c>
      <c r="B8" s="421" t="s">
        <v>566</v>
      </c>
      <c r="C8" s="417"/>
      <c r="D8" s="447">
        <f>D11+D24+D36</f>
        <v>67</v>
      </c>
      <c r="E8" s="418">
        <f t="shared" ref="E8:W8" si="2">E11+E24+E36</f>
        <v>10550</v>
      </c>
      <c r="F8" s="447">
        <f t="shared" si="2"/>
        <v>185</v>
      </c>
      <c r="G8" s="418">
        <f t="shared" si="2"/>
        <v>32300</v>
      </c>
      <c r="H8" s="447">
        <f t="shared" si="2"/>
        <v>66</v>
      </c>
      <c r="I8" s="418">
        <f t="shared" si="2"/>
        <v>10200</v>
      </c>
      <c r="J8" s="447">
        <f t="shared" si="2"/>
        <v>192</v>
      </c>
      <c r="K8" s="418">
        <f t="shared" si="2"/>
        <v>33950</v>
      </c>
      <c r="L8" s="447">
        <f t="shared" si="2"/>
        <v>67</v>
      </c>
      <c r="M8" s="418">
        <f t="shared" si="2"/>
        <v>10350</v>
      </c>
      <c r="N8" s="447">
        <f t="shared" si="2"/>
        <v>166</v>
      </c>
      <c r="O8" s="418">
        <f t="shared" si="2"/>
        <v>28050</v>
      </c>
      <c r="P8" s="447">
        <f t="shared" si="2"/>
        <v>67</v>
      </c>
      <c r="Q8" s="418">
        <f t="shared" si="2"/>
        <v>10600</v>
      </c>
      <c r="R8" s="447">
        <f t="shared" si="2"/>
        <v>147</v>
      </c>
      <c r="S8" s="418">
        <f t="shared" si="2"/>
        <v>23750</v>
      </c>
      <c r="T8" s="447">
        <f t="shared" si="2"/>
        <v>66</v>
      </c>
      <c r="U8" s="418">
        <f t="shared" si="2"/>
        <v>10200</v>
      </c>
      <c r="V8" s="447">
        <f t="shared" si="2"/>
        <v>147</v>
      </c>
      <c r="W8" s="418">
        <f t="shared" si="2"/>
        <v>23700</v>
      </c>
      <c r="X8" s="438">
        <f t="shared" ref="X8:X9" si="3">D8+H8+L8+P8+T8</f>
        <v>333</v>
      </c>
      <c r="Y8" s="438">
        <f t="shared" ref="Y8:Y9" si="4">E8+I8+M8+Q8+U8</f>
        <v>51900</v>
      </c>
      <c r="Z8" s="438">
        <f t="shared" ref="Z8:Z9" si="5">F8+J8+N8+R8+V8</f>
        <v>837</v>
      </c>
      <c r="AA8" s="438">
        <f t="shared" ref="AA8:AA9" si="6">G8+K8+O8+S8+W8</f>
        <v>141750</v>
      </c>
      <c r="AB8" s="439">
        <f t="shared" ref="AB8:AB9" si="7">X8+Z8</f>
        <v>1170</v>
      </c>
      <c r="AC8" s="439">
        <f t="shared" ref="AC8:AC9" si="8">Y8+AA8</f>
        <v>193650</v>
      </c>
      <c r="AD8" s="195"/>
      <c r="AE8" s="192"/>
      <c r="AF8" s="193"/>
      <c r="AG8" s="194"/>
      <c r="AH8" s="191"/>
      <c r="AI8" s="192"/>
      <c r="AJ8" s="191"/>
      <c r="AK8" s="192"/>
    </row>
    <row r="9" spans="1:37" s="198" customFormat="1" ht="33.6" x14ac:dyDescent="0.3">
      <c r="A9" s="420">
        <v>2</v>
      </c>
      <c r="B9" s="421" t="s">
        <v>572</v>
      </c>
      <c r="C9" s="417"/>
      <c r="D9" s="447">
        <f>D17+D30</f>
        <v>5</v>
      </c>
      <c r="E9" s="418">
        <f t="shared" ref="E9:W9" si="9">E17+E30</f>
        <v>960</v>
      </c>
      <c r="F9" s="447">
        <f t="shared" si="9"/>
        <v>6</v>
      </c>
      <c r="G9" s="418">
        <f t="shared" si="9"/>
        <v>1080</v>
      </c>
      <c r="H9" s="447">
        <f t="shared" si="9"/>
        <v>6</v>
      </c>
      <c r="I9" s="418">
        <f t="shared" si="9"/>
        <v>1140</v>
      </c>
      <c r="J9" s="447">
        <f t="shared" si="9"/>
        <v>5</v>
      </c>
      <c r="K9" s="418">
        <f t="shared" si="9"/>
        <v>900</v>
      </c>
      <c r="L9" s="447">
        <f t="shared" si="9"/>
        <v>5</v>
      </c>
      <c r="M9" s="418">
        <f t="shared" si="9"/>
        <v>960</v>
      </c>
      <c r="N9" s="447">
        <f t="shared" si="9"/>
        <v>5</v>
      </c>
      <c r="O9" s="418">
        <f t="shared" si="9"/>
        <v>900</v>
      </c>
      <c r="P9" s="447">
        <f t="shared" si="9"/>
        <v>5</v>
      </c>
      <c r="Q9" s="418">
        <f t="shared" si="9"/>
        <v>960</v>
      </c>
      <c r="R9" s="447">
        <f t="shared" si="9"/>
        <v>5</v>
      </c>
      <c r="S9" s="418">
        <f t="shared" si="9"/>
        <v>900</v>
      </c>
      <c r="T9" s="447">
        <f t="shared" si="9"/>
        <v>5</v>
      </c>
      <c r="U9" s="418">
        <f t="shared" si="9"/>
        <v>960</v>
      </c>
      <c r="V9" s="447">
        <f t="shared" si="9"/>
        <v>5</v>
      </c>
      <c r="W9" s="418">
        <f t="shared" si="9"/>
        <v>900</v>
      </c>
      <c r="X9" s="438">
        <f t="shared" si="3"/>
        <v>26</v>
      </c>
      <c r="Y9" s="438">
        <f t="shared" si="4"/>
        <v>4980</v>
      </c>
      <c r="Z9" s="438">
        <f t="shared" si="5"/>
        <v>26</v>
      </c>
      <c r="AA9" s="438">
        <f t="shared" si="6"/>
        <v>4680</v>
      </c>
      <c r="AB9" s="439">
        <f t="shared" si="7"/>
        <v>52</v>
      </c>
      <c r="AC9" s="439">
        <f t="shared" si="8"/>
        <v>9660</v>
      </c>
      <c r="AD9" s="195"/>
      <c r="AE9" s="192"/>
      <c r="AF9" s="193"/>
      <c r="AG9" s="194"/>
      <c r="AH9" s="191"/>
      <c r="AI9" s="192"/>
      <c r="AJ9" s="191"/>
      <c r="AK9" s="192"/>
    </row>
    <row r="10" spans="1:37" s="183" customFormat="1" outlineLevel="1" x14ac:dyDescent="0.3">
      <c r="A10" s="420" t="s">
        <v>563</v>
      </c>
      <c r="B10" s="421" t="s">
        <v>564</v>
      </c>
      <c r="C10" s="422"/>
      <c r="D10" s="448">
        <f>D11+D17</f>
        <v>69</v>
      </c>
      <c r="E10" s="423">
        <f t="shared" ref="E10:W10" si="10">E11+E17</f>
        <v>11060</v>
      </c>
      <c r="F10" s="448">
        <f t="shared" si="10"/>
        <v>66</v>
      </c>
      <c r="G10" s="423">
        <f t="shared" si="10"/>
        <v>10090</v>
      </c>
      <c r="H10" s="448">
        <f t="shared" si="10"/>
        <v>69</v>
      </c>
      <c r="I10" s="423">
        <f t="shared" si="10"/>
        <v>10840</v>
      </c>
      <c r="J10" s="448">
        <f t="shared" si="10"/>
        <v>65</v>
      </c>
      <c r="K10" s="423">
        <f t="shared" si="10"/>
        <v>9910</v>
      </c>
      <c r="L10" s="448">
        <f t="shared" si="10"/>
        <v>68</v>
      </c>
      <c r="M10" s="423">
        <f t="shared" si="10"/>
        <v>10660</v>
      </c>
      <c r="N10" s="448">
        <f t="shared" si="10"/>
        <v>65</v>
      </c>
      <c r="O10" s="423">
        <f t="shared" si="10"/>
        <v>9910</v>
      </c>
      <c r="P10" s="448">
        <f t="shared" si="10"/>
        <v>69</v>
      </c>
      <c r="Q10" s="423">
        <f t="shared" si="10"/>
        <v>11060</v>
      </c>
      <c r="R10" s="448">
        <f t="shared" si="10"/>
        <v>65</v>
      </c>
      <c r="S10" s="423">
        <f t="shared" si="10"/>
        <v>9910</v>
      </c>
      <c r="T10" s="448">
        <f t="shared" si="10"/>
        <v>68</v>
      </c>
      <c r="U10" s="423">
        <f t="shared" si="10"/>
        <v>10660</v>
      </c>
      <c r="V10" s="448">
        <f t="shared" si="10"/>
        <v>65</v>
      </c>
      <c r="W10" s="423">
        <f t="shared" si="10"/>
        <v>9910</v>
      </c>
      <c r="X10" s="438">
        <f t="shared" ref="X10:AA41" si="11">D10+H10+L10+P10+T10</f>
        <v>343</v>
      </c>
      <c r="Y10" s="438">
        <f t="shared" si="1"/>
        <v>54280</v>
      </c>
      <c r="Z10" s="438">
        <f t="shared" si="1"/>
        <v>326</v>
      </c>
      <c r="AA10" s="438">
        <f t="shared" si="1"/>
        <v>49730</v>
      </c>
      <c r="AB10" s="439">
        <f t="shared" ref="AB10:AC41" si="12">X10+Z10</f>
        <v>669</v>
      </c>
      <c r="AC10" s="439">
        <f t="shared" si="12"/>
        <v>104010</v>
      </c>
      <c r="AD10" s="200"/>
      <c r="AE10" s="201" t="s">
        <v>565</v>
      </c>
      <c r="AF10" s="202">
        <f>AF11+AF17</f>
        <v>359</v>
      </c>
      <c r="AG10" s="202">
        <f t="shared" ref="AG10:AK10" si="13">AG11+AG17</f>
        <v>56880</v>
      </c>
      <c r="AH10" s="202">
        <f t="shared" si="13"/>
        <v>863</v>
      </c>
      <c r="AI10" s="202">
        <f t="shared" si="13"/>
        <v>146430</v>
      </c>
      <c r="AJ10" s="202">
        <f t="shared" si="13"/>
        <v>1222</v>
      </c>
      <c r="AK10" s="202">
        <f t="shared" si="13"/>
        <v>203310</v>
      </c>
    </row>
    <row r="11" spans="1:37" s="183" customFormat="1" outlineLevel="1" x14ac:dyDescent="0.3">
      <c r="A11" s="420">
        <v>1</v>
      </c>
      <c r="B11" s="421" t="s">
        <v>566</v>
      </c>
      <c r="C11" s="422"/>
      <c r="D11" s="448">
        <f>SUM(D12:D16)</f>
        <v>64</v>
      </c>
      <c r="E11" s="423">
        <f t="shared" ref="E11:W11" si="14">SUM(E12:E16)</f>
        <v>10100</v>
      </c>
      <c r="F11" s="448">
        <f t="shared" si="14"/>
        <v>63</v>
      </c>
      <c r="G11" s="423">
        <f t="shared" si="14"/>
        <v>9550</v>
      </c>
      <c r="H11" s="448">
        <f t="shared" si="14"/>
        <v>63</v>
      </c>
      <c r="I11" s="423">
        <f t="shared" si="14"/>
        <v>9700</v>
      </c>
      <c r="J11" s="448">
        <f t="shared" si="14"/>
        <v>63</v>
      </c>
      <c r="K11" s="423">
        <f t="shared" si="14"/>
        <v>9550</v>
      </c>
      <c r="L11" s="448">
        <f t="shared" si="14"/>
        <v>63</v>
      </c>
      <c r="M11" s="423">
        <f t="shared" si="14"/>
        <v>9700</v>
      </c>
      <c r="N11" s="448">
        <f t="shared" si="14"/>
        <v>63</v>
      </c>
      <c r="O11" s="423">
        <f t="shared" si="14"/>
        <v>9550</v>
      </c>
      <c r="P11" s="448">
        <f t="shared" si="14"/>
        <v>64</v>
      </c>
      <c r="Q11" s="423">
        <f t="shared" si="14"/>
        <v>10100</v>
      </c>
      <c r="R11" s="448">
        <f t="shared" si="14"/>
        <v>63</v>
      </c>
      <c r="S11" s="423">
        <f t="shared" si="14"/>
        <v>9550</v>
      </c>
      <c r="T11" s="448">
        <f t="shared" si="14"/>
        <v>63</v>
      </c>
      <c r="U11" s="423">
        <f t="shared" si="14"/>
        <v>9700</v>
      </c>
      <c r="V11" s="448">
        <f t="shared" si="14"/>
        <v>63</v>
      </c>
      <c r="W11" s="423">
        <f t="shared" si="14"/>
        <v>9550</v>
      </c>
      <c r="X11" s="438">
        <f t="shared" si="11"/>
        <v>317</v>
      </c>
      <c r="Y11" s="438">
        <f t="shared" si="1"/>
        <v>49300</v>
      </c>
      <c r="Z11" s="438">
        <f t="shared" si="1"/>
        <v>315</v>
      </c>
      <c r="AA11" s="438">
        <f t="shared" si="1"/>
        <v>47750</v>
      </c>
      <c r="AB11" s="439">
        <f t="shared" si="12"/>
        <v>632</v>
      </c>
      <c r="AC11" s="439">
        <f t="shared" si="12"/>
        <v>97050</v>
      </c>
      <c r="AD11" s="200"/>
      <c r="AE11" s="203" t="s">
        <v>46</v>
      </c>
      <c r="AF11" s="204">
        <f>AF12+AF13+AF14+AF15+AF16</f>
        <v>359</v>
      </c>
      <c r="AG11" s="204">
        <f t="shared" ref="AG11:AK11" si="15">AG12+AG13+AG14+AG15+AG16</f>
        <v>56880</v>
      </c>
      <c r="AH11" s="204">
        <f t="shared" si="15"/>
        <v>863</v>
      </c>
      <c r="AI11" s="204">
        <f t="shared" si="15"/>
        <v>146430</v>
      </c>
      <c r="AJ11" s="204">
        <f t="shared" si="15"/>
        <v>1222</v>
      </c>
      <c r="AK11" s="204">
        <f t="shared" si="15"/>
        <v>203310</v>
      </c>
    </row>
    <row r="12" spans="1:37" s="182" customFormat="1" outlineLevel="1" x14ac:dyDescent="0.3">
      <c r="A12" s="424"/>
      <c r="B12" s="425" t="s">
        <v>567</v>
      </c>
      <c r="C12" s="426">
        <v>400</v>
      </c>
      <c r="D12" s="449">
        <v>1</v>
      </c>
      <c r="E12" s="428">
        <f>C12*D12</f>
        <v>400</v>
      </c>
      <c r="F12" s="449"/>
      <c r="G12" s="428">
        <f>F12*C12</f>
        <v>0</v>
      </c>
      <c r="H12" s="450">
        <v>0</v>
      </c>
      <c r="I12" s="428">
        <f>H12*C12</f>
        <v>0</v>
      </c>
      <c r="J12" s="449"/>
      <c r="K12" s="428">
        <f>C12*J12</f>
        <v>0</v>
      </c>
      <c r="L12" s="450">
        <v>0</v>
      </c>
      <c r="M12" s="428">
        <f>L12*C12</f>
        <v>0</v>
      </c>
      <c r="N12" s="452"/>
      <c r="O12" s="428">
        <f>N12*C12</f>
        <v>0</v>
      </c>
      <c r="P12" s="449">
        <v>1</v>
      </c>
      <c r="Q12" s="428">
        <f>P12*C12</f>
        <v>400</v>
      </c>
      <c r="R12" s="449"/>
      <c r="S12" s="427">
        <f>R12*C12</f>
        <v>0</v>
      </c>
      <c r="T12" s="450">
        <v>0</v>
      </c>
      <c r="U12" s="428">
        <f>T12*C12</f>
        <v>0</v>
      </c>
      <c r="V12" s="452"/>
      <c r="W12" s="428">
        <f>V12*C12</f>
        <v>0</v>
      </c>
      <c r="X12" s="429">
        <f t="shared" si="11"/>
        <v>2</v>
      </c>
      <c r="Y12" s="429">
        <f t="shared" si="1"/>
        <v>800</v>
      </c>
      <c r="Z12" s="429">
        <f t="shared" si="1"/>
        <v>0</v>
      </c>
      <c r="AA12" s="429">
        <f t="shared" si="1"/>
        <v>0</v>
      </c>
      <c r="AB12" s="419">
        <f t="shared" si="12"/>
        <v>2</v>
      </c>
      <c r="AC12" s="419">
        <f t="shared" si="12"/>
        <v>800</v>
      </c>
      <c r="AD12" s="205"/>
      <c r="AE12" s="206">
        <v>2026</v>
      </c>
      <c r="AF12" s="207">
        <f>D7</f>
        <v>72</v>
      </c>
      <c r="AG12" s="211">
        <f>E7</f>
        <v>11510</v>
      </c>
      <c r="AH12" s="208">
        <f>F7</f>
        <v>191</v>
      </c>
      <c r="AI12" s="212">
        <f>G7</f>
        <v>33380</v>
      </c>
      <c r="AJ12" s="209">
        <f>AF12+AH12</f>
        <v>263</v>
      </c>
      <c r="AK12" s="212">
        <f>AG12+AI12</f>
        <v>44890</v>
      </c>
    </row>
    <row r="13" spans="1:37" s="182" customFormat="1" outlineLevel="1" x14ac:dyDescent="0.3">
      <c r="A13" s="424"/>
      <c r="B13" s="425" t="s">
        <v>568</v>
      </c>
      <c r="C13" s="426">
        <v>300</v>
      </c>
      <c r="D13" s="450">
        <f>2/2</f>
        <v>1</v>
      </c>
      <c r="E13" s="428">
        <f t="shared" ref="E13:E35" si="16">C13*D13</f>
        <v>300</v>
      </c>
      <c r="F13" s="449"/>
      <c r="G13" s="428">
        <f t="shared" ref="G13:G41" si="17">F13*C13</f>
        <v>0</v>
      </c>
      <c r="H13" s="450">
        <v>1</v>
      </c>
      <c r="I13" s="428">
        <f t="shared" ref="I13:I41" si="18">H13*C13</f>
        <v>300</v>
      </c>
      <c r="J13" s="449"/>
      <c r="K13" s="428">
        <f t="shared" ref="K13:K41" si="19">C13*J13</f>
        <v>0</v>
      </c>
      <c r="L13" s="450">
        <v>1</v>
      </c>
      <c r="M13" s="428">
        <f t="shared" ref="M13:M41" si="20">L13*C13</f>
        <v>300</v>
      </c>
      <c r="N13" s="452"/>
      <c r="O13" s="428">
        <f t="shared" ref="O13:O41" si="21">N13*C13</f>
        <v>0</v>
      </c>
      <c r="P13" s="450">
        <v>1</v>
      </c>
      <c r="Q13" s="428">
        <f t="shared" ref="Q13:Q41" si="22">P13*C13</f>
        <v>300</v>
      </c>
      <c r="R13" s="449"/>
      <c r="S13" s="427">
        <f t="shared" ref="S13:S41" si="23">R13*C13</f>
        <v>0</v>
      </c>
      <c r="T13" s="450">
        <v>1</v>
      </c>
      <c r="U13" s="428">
        <f t="shared" ref="U13:U41" si="24">T13*C13</f>
        <v>300</v>
      </c>
      <c r="V13" s="452"/>
      <c r="W13" s="428">
        <f t="shared" ref="W13:W41" si="25">V13*C13</f>
        <v>0</v>
      </c>
      <c r="X13" s="429">
        <f t="shared" si="11"/>
        <v>5</v>
      </c>
      <c r="Y13" s="429">
        <f t="shared" si="1"/>
        <v>1500</v>
      </c>
      <c r="Z13" s="429">
        <f t="shared" si="1"/>
        <v>0</v>
      </c>
      <c r="AA13" s="429">
        <f t="shared" si="1"/>
        <v>0</v>
      </c>
      <c r="AB13" s="419">
        <f t="shared" si="12"/>
        <v>5</v>
      </c>
      <c r="AC13" s="419">
        <f t="shared" si="12"/>
        <v>1500</v>
      </c>
      <c r="AD13" s="205"/>
      <c r="AE13" s="210">
        <v>2027</v>
      </c>
      <c r="AF13" s="211">
        <f>H7</f>
        <v>72</v>
      </c>
      <c r="AG13" s="211">
        <f>I7</f>
        <v>11340</v>
      </c>
      <c r="AH13" s="212">
        <f>J7</f>
        <v>197</v>
      </c>
      <c r="AI13" s="212">
        <f>K7</f>
        <v>34850</v>
      </c>
      <c r="AJ13" s="209">
        <f t="shared" ref="AJ13:AK22" si="26">AF13+AH13</f>
        <v>269</v>
      </c>
      <c r="AK13" s="212">
        <f t="shared" si="26"/>
        <v>46190</v>
      </c>
    </row>
    <row r="14" spans="1:37" s="182" customFormat="1" outlineLevel="1" x14ac:dyDescent="0.3">
      <c r="A14" s="424"/>
      <c r="B14" s="425" t="s">
        <v>569</v>
      </c>
      <c r="C14" s="426">
        <v>250</v>
      </c>
      <c r="D14" s="450">
        <f>2/2</f>
        <v>1</v>
      </c>
      <c r="E14" s="428">
        <f t="shared" si="16"/>
        <v>250</v>
      </c>
      <c r="F14" s="449"/>
      <c r="G14" s="428">
        <f t="shared" si="17"/>
        <v>0</v>
      </c>
      <c r="H14" s="450">
        <v>1</v>
      </c>
      <c r="I14" s="428">
        <f t="shared" si="18"/>
        <v>250</v>
      </c>
      <c r="J14" s="449"/>
      <c r="K14" s="428">
        <f t="shared" si="19"/>
        <v>0</v>
      </c>
      <c r="L14" s="450">
        <v>1</v>
      </c>
      <c r="M14" s="428">
        <f t="shared" si="20"/>
        <v>250</v>
      </c>
      <c r="N14" s="452"/>
      <c r="O14" s="428">
        <f t="shared" si="21"/>
        <v>0</v>
      </c>
      <c r="P14" s="450">
        <v>1</v>
      </c>
      <c r="Q14" s="428">
        <f t="shared" si="22"/>
        <v>250</v>
      </c>
      <c r="R14" s="449"/>
      <c r="S14" s="427">
        <f t="shared" si="23"/>
        <v>0</v>
      </c>
      <c r="T14" s="450">
        <v>1</v>
      </c>
      <c r="U14" s="428">
        <f t="shared" si="24"/>
        <v>250</v>
      </c>
      <c r="V14" s="452"/>
      <c r="W14" s="428">
        <f t="shared" si="25"/>
        <v>0</v>
      </c>
      <c r="X14" s="429">
        <f t="shared" si="11"/>
        <v>5</v>
      </c>
      <c r="Y14" s="429">
        <f t="shared" si="1"/>
        <v>1250</v>
      </c>
      <c r="Z14" s="429">
        <f t="shared" si="1"/>
        <v>0</v>
      </c>
      <c r="AA14" s="429">
        <f t="shared" si="1"/>
        <v>0</v>
      </c>
      <c r="AB14" s="419">
        <f t="shared" si="12"/>
        <v>5</v>
      </c>
      <c r="AC14" s="419">
        <f t="shared" si="12"/>
        <v>1250</v>
      </c>
      <c r="AD14" s="205"/>
      <c r="AE14" s="206">
        <v>2028</v>
      </c>
      <c r="AF14" s="211">
        <f>L7</f>
        <v>72</v>
      </c>
      <c r="AG14" s="211">
        <f>M7</f>
        <v>11310</v>
      </c>
      <c r="AH14" s="212">
        <f>N7</f>
        <v>171</v>
      </c>
      <c r="AI14" s="212">
        <f>O7</f>
        <v>28950</v>
      </c>
      <c r="AJ14" s="209">
        <f t="shared" si="26"/>
        <v>243</v>
      </c>
      <c r="AK14" s="212">
        <f t="shared" si="26"/>
        <v>40260</v>
      </c>
    </row>
    <row r="15" spans="1:37" s="182" customFormat="1" outlineLevel="1" x14ac:dyDescent="0.3">
      <c r="A15" s="424"/>
      <c r="B15" s="425" t="s">
        <v>570</v>
      </c>
      <c r="C15" s="427">
        <v>200</v>
      </c>
      <c r="D15" s="449"/>
      <c r="E15" s="428">
        <f t="shared" si="16"/>
        <v>0</v>
      </c>
      <c r="F15" s="450">
        <f>4/2</f>
        <v>2</v>
      </c>
      <c r="G15" s="428">
        <f t="shared" si="17"/>
        <v>400</v>
      </c>
      <c r="H15" s="449"/>
      <c r="I15" s="428">
        <f t="shared" si="18"/>
        <v>0</v>
      </c>
      <c r="J15" s="450">
        <v>2</v>
      </c>
      <c r="K15" s="428">
        <f t="shared" si="19"/>
        <v>400</v>
      </c>
      <c r="L15" s="450"/>
      <c r="M15" s="428">
        <f t="shared" si="20"/>
        <v>0</v>
      </c>
      <c r="N15" s="453">
        <v>2</v>
      </c>
      <c r="O15" s="428">
        <f t="shared" si="21"/>
        <v>400</v>
      </c>
      <c r="P15" s="449"/>
      <c r="Q15" s="428">
        <f t="shared" si="22"/>
        <v>0</v>
      </c>
      <c r="R15" s="450">
        <v>2</v>
      </c>
      <c r="S15" s="427">
        <f t="shared" si="23"/>
        <v>400</v>
      </c>
      <c r="T15" s="449"/>
      <c r="U15" s="428">
        <f t="shared" si="24"/>
        <v>0</v>
      </c>
      <c r="V15" s="453">
        <v>2</v>
      </c>
      <c r="W15" s="428">
        <f t="shared" si="25"/>
        <v>400</v>
      </c>
      <c r="X15" s="429">
        <f t="shared" si="11"/>
        <v>0</v>
      </c>
      <c r="Y15" s="429">
        <f t="shared" si="1"/>
        <v>0</v>
      </c>
      <c r="Z15" s="429">
        <f t="shared" si="1"/>
        <v>10</v>
      </c>
      <c r="AA15" s="429">
        <f t="shared" si="1"/>
        <v>2000</v>
      </c>
      <c r="AB15" s="419">
        <f t="shared" si="12"/>
        <v>10</v>
      </c>
      <c r="AC15" s="419">
        <f t="shared" si="12"/>
        <v>2000</v>
      </c>
      <c r="AD15" s="205"/>
      <c r="AE15" s="210">
        <v>2029</v>
      </c>
      <c r="AF15" s="211">
        <f>P7</f>
        <v>72</v>
      </c>
      <c r="AG15" s="211">
        <f>Q7</f>
        <v>11560</v>
      </c>
      <c r="AH15" s="212">
        <f>R7</f>
        <v>152</v>
      </c>
      <c r="AI15" s="212">
        <f>S7</f>
        <v>24650</v>
      </c>
      <c r="AJ15" s="209">
        <f t="shared" si="26"/>
        <v>224</v>
      </c>
      <c r="AK15" s="212">
        <f t="shared" si="26"/>
        <v>36210</v>
      </c>
    </row>
    <row r="16" spans="1:37" s="182" customFormat="1" outlineLevel="1" x14ac:dyDescent="0.3">
      <c r="A16" s="424"/>
      <c r="B16" s="425" t="s">
        <v>571</v>
      </c>
      <c r="C16" s="427">
        <v>150</v>
      </c>
      <c r="D16" s="450">
        <f>122/2</f>
        <v>61</v>
      </c>
      <c r="E16" s="428">
        <f t="shared" si="16"/>
        <v>9150</v>
      </c>
      <c r="F16" s="450">
        <f>122/2</f>
        <v>61</v>
      </c>
      <c r="G16" s="428">
        <f t="shared" si="17"/>
        <v>9150</v>
      </c>
      <c r="H16" s="450">
        <v>61</v>
      </c>
      <c r="I16" s="428">
        <f t="shared" si="18"/>
        <v>9150</v>
      </c>
      <c r="J16" s="450">
        <v>61</v>
      </c>
      <c r="K16" s="428">
        <f t="shared" si="19"/>
        <v>9150</v>
      </c>
      <c r="L16" s="450">
        <v>61</v>
      </c>
      <c r="M16" s="428">
        <f t="shared" si="20"/>
        <v>9150</v>
      </c>
      <c r="N16" s="453">
        <v>61</v>
      </c>
      <c r="O16" s="428">
        <f t="shared" si="21"/>
        <v>9150</v>
      </c>
      <c r="P16" s="450">
        <v>61</v>
      </c>
      <c r="Q16" s="428">
        <f t="shared" si="22"/>
        <v>9150</v>
      </c>
      <c r="R16" s="450">
        <v>61</v>
      </c>
      <c r="S16" s="427">
        <f t="shared" si="23"/>
        <v>9150</v>
      </c>
      <c r="T16" s="450">
        <v>61</v>
      </c>
      <c r="U16" s="428">
        <f t="shared" si="24"/>
        <v>9150</v>
      </c>
      <c r="V16" s="453">
        <v>61</v>
      </c>
      <c r="W16" s="428">
        <f t="shared" si="25"/>
        <v>9150</v>
      </c>
      <c r="X16" s="429">
        <f t="shared" si="11"/>
        <v>305</v>
      </c>
      <c r="Y16" s="429">
        <f t="shared" si="1"/>
        <v>45750</v>
      </c>
      <c r="Z16" s="429">
        <f t="shared" si="1"/>
        <v>305</v>
      </c>
      <c r="AA16" s="429">
        <f t="shared" si="1"/>
        <v>45750</v>
      </c>
      <c r="AB16" s="419">
        <f t="shared" si="12"/>
        <v>610</v>
      </c>
      <c r="AC16" s="419">
        <f t="shared" si="12"/>
        <v>91500</v>
      </c>
      <c r="AD16" s="205"/>
      <c r="AE16" s="206">
        <v>2030</v>
      </c>
      <c r="AF16" s="211">
        <f>T7</f>
        <v>71</v>
      </c>
      <c r="AG16" s="211">
        <f>U7</f>
        <v>11160</v>
      </c>
      <c r="AH16" s="212">
        <f>V7</f>
        <v>152</v>
      </c>
      <c r="AI16" s="212">
        <f>W7</f>
        <v>24600</v>
      </c>
      <c r="AJ16" s="209">
        <f t="shared" si="26"/>
        <v>223</v>
      </c>
      <c r="AK16" s="212">
        <f t="shared" si="26"/>
        <v>35760</v>
      </c>
    </row>
    <row r="17" spans="1:37" s="183" customFormat="1" ht="33.6" outlineLevel="1" x14ac:dyDescent="0.3">
      <c r="A17" s="420">
        <v>2</v>
      </c>
      <c r="B17" s="421" t="s">
        <v>572</v>
      </c>
      <c r="C17" s="423"/>
      <c r="D17" s="448">
        <f>SUM(D18:D22)</f>
        <v>5</v>
      </c>
      <c r="E17" s="423">
        <f t="shared" ref="E17:W17" si="27">SUM(E18:E22)</f>
        <v>960</v>
      </c>
      <c r="F17" s="448">
        <f t="shared" si="27"/>
        <v>3</v>
      </c>
      <c r="G17" s="423">
        <f t="shared" si="27"/>
        <v>540</v>
      </c>
      <c r="H17" s="448">
        <f t="shared" si="27"/>
        <v>6</v>
      </c>
      <c r="I17" s="423">
        <f t="shared" si="27"/>
        <v>1140</v>
      </c>
      <c r="J17" s="448">
        <f t="shared" si="27"/>
        <v>2</v>
      </c>
      <c r="K17" s="423">
        <f t="shared" si="27"/>
        <v>360</v>
      </c>
      <c r="L17" s="448">
        <f t="shared" si="27"/>
        <v>5</v>
      </c>
      <c r="M17" s="423">
        <f t="shared" si="27"/>
        <v>960</v>
      </c>
      <c r="N17" s="448">
        <f t="shared" si="27"/>
        <v>2</v>
      </c>
      <c r="O17" s="423">
        <f t="shared" si="27"/>
        <v>360</v>
      </c>
      <c r="P17" s="448">
        <f t="shared" si="27"/>
        <v>5</v>
      </c>
      <c r="Q17" s="423">
        <f t="shared" si="27"/>
        <v>960</v>
      </c>
      <c r="R17" s="448">
        <f t="shared" si="27"/>
        <v>2</v>
      </c>
      <c r="S17" s="423">
        <f t="shared" si="27"/>
        <v>360</v>
      </c>
      <c r="T17" s="448">
        <f t="shared" si="27"/>
        <v>5</v>
      </c>
      <c r="U17" s="423">
        <f t="shared" si="27"/>
        <v>960</v>
      </c>
      <c r="V17" s="448">
        <f t="shared" si="27"/>
        <v>2</v>
      </c>
      <c r="W17" s="423">
        <f t="shared" si="27"/>
        <v>360</v>
      </c>
      <c r="X17" s="438">
        <f t="shared" si="11"/>
        <v>26</v>
      </c>
      <c r="Y17" s="438">
        <f t="shared" si="1"/>
        <v>4980</v>
      </c>
      <c r="Z17" s="438">
        <f t="shared" si="1"/>
        <v>11</v>
      </c>
      <c r="AA17" s="438">
        <f t="shared" si="1"/>
        <v>1980</v>
      </c>
      <c r="AB17" s="439">
        <f t="shared" si="12"/>
        <v>37</v>
      </c>
      <c r="AC17" s="439">
        <f t="shared" si="12"/>
        <v>6960</v>
      </c>
      <c r="AD17" s="200"/>
      <c r="AE17" s="213" t="s">
        <v>573</v>
      </c>
      <c r="AF17" s="204">
        <f>AF18+AF19+AF20+AF21+AF22</f>
        <v>0</v>
      </c>
      <c r="AG17" s="204">
        <f t="shared" ref="AG17:AK17" si="28">AG18+AG19+AG20+AG21+AG22</f>
        <v>0</v>
      </c>
      <c r="AH17" s="204">
        <f t="shared" si="28"/>
        <v>0</v>
      </c>
      <c r="AI17" s="204">
        <f t="shared" si="28"/>
        <v>0</v>
      </c>
      <c r="AJ17" s="204">
        <f t="shared" si="28"/>
        <v>0</v>
      </c>
      <c r="AK17" s="204">
        <f t="shared" si="28"/>
        <v>0</v>
      </c>
    </row>
    <row r="18" spans="1:37" s="182" customFormat="1" outlineLevel="1" x14ac:dyDescent="0.3">
      <c r="A18" s="424"/>
      <c r="B18" s="425" t="s">
        <v>567</v>
      </c>
      <c r="C18" s="427">
        <f>C12*1.2</f>
        <v>480</v>
      </c>
      <c r="D18" s="449"/>
      <c r="E18" s="428">
        <f t="shared" si="16"/>
        <v>0</v>
      </c>
      <c r="F18" s="449"/>
      <c r="G18" s="428">
        <f t="shared" si="17"/>
        <v>0</v>
      </c>
      <c r="H18" s="449"/>
      <c r="I18" s="428">
        <f t="shared" si="18"/>
        <v>0</v>
      </c>
      <c r="J18" s="449"/>
      <c r="K18" s="428">
        <f t="shared" si="19"/>
        <v>0</v>
      </c>
      <c r="L18" s="449"/>
      <c r="M18" s="428">
        <f t="shared" si="20"/>
        <v>0</v>
      </c>
      <c r="N18" s="452"/>
      <c r="O18" s="428">
        <f t="shared" si="21"/>
        <v>0</v>
      </c>
      <c r="P18" s="449"/>
      <c r="Q18" s="428">
        <f t="shared" si="22"/>
        <v>0</v>
      </c>
      <c r="R18" s="449"/>
      <c r="S18" s="427">
        <f t="shared" si="23"/>
        <v>0</v>
      </c>
      <c r="T18" s="449"/>
      <c r="U18" s="428">
        <f t="shared" si="24"/>
        <v>0</v>
      </c>
      <c r="V18" s="452"/>
      <c r="W18" s="428">
        <f t="shared" si="25"/>
        <v>0</v>
      </c>
      <c r="X18" s="429">
        <f t="shared" si="11"/>
        <v>0</v>
      </c>
      <c r="Y18" s="429">
        <f t="shared" si="1"/>
        <v>0</v>
      </c>
      <c r="Z18" s="429">
        <f t="shared" si="1"/>
        <v>0</v>
      </c>
      <c r="AA18" s="429">
        <f t="shared" si="1"/>
        <v>0</v>
      </c>
      <c r="AB18" s="419">
        <f t="shared" si="12"/>
        <v>0</v>
      </c>
      <c r="AC18" s="419">
        <f t="shared" si="12"/>
        <v>0</v>
      </c>
      <c r="AD18" s="205"/>
      <c r="AE18" s="206">
        <v>2026</v>
      </c>
      <c r="AF18" s="211">
        <v>0</v>
      </c>
      <c r="AG18" s="211">
        <v>0</v>
      </c>
      <c r="AH18" s="212">
        <v>0</v>
      </c>
      <c r="AI18" s="212">
        <v>0</v>
      </c>
      <c r="AJ18" s="209">
        <f t="shared" si="26"/>
        <v>0</v>
      </c>
      <c r="AK18" s="212">
        <f t="shared" si="26"/>
        <v>0</v>
      </c>
    </row>
    <row r="19" spans="1:37" s="182" customFormat="1" outlineLevel="1" x14ac:dyDescent="0.3">
      <c r="A19" s="424"/>
      <c r="B19" s="425" t="s">
        <v>568</v>
      </c>
      <c r="C19" s="427">
        <f t="shared" ref="C19:C22" si="29">C13*1.2</f>
        <v>360</v>
      </c>
      <c r="D19" s="449"/>
      <c r="E19" s="428">
        <f t="shared" si="16"/>
        <v>0</v>
      </c>
      <c r="F19" s="449"/>
      <c r="G19" s="428">
        <f t="shared" si="17"/>
        <v>0</v>
      </c>
      <c r="H19" s="449"/>
      <c r="I19" s="428">
        <f t="shared" si="18"/>
        <v>0</v>
      </c>
      <c r="J19" s="449"/>
      <c r="K19" s="428">
        <f t="shared" si="19"/>
        <v>0</v>
      </c>
      <c r="L19" s="449"/>
      <c r="M19" s="428">
        <f t="shared" si="20"/>
        <v>0</v>
      </c>
      <c r="N19" s="452"/>
      <c r="O19" s="428">
        <f t="shared" si="21"/>
        <v>0</v>
      </c>
      <c r="P19" s="449"/>
      <c r="Q19" s="428">
        <f t="shared" si="22"/>
        <v>0</v>
      </c>
      <c r="R19" s="449"/>
      <c r="S19" s="427">
        <f t="shared" si="23"/>
        <v>0</v>
      </c>
      <c r="T19" s="449"/>
      <c r="U19" s="428">
        <f t="shared" si="24"/>
        <v>0</v>
      </c>
      <c r="V19" s="452"/>
      <c r="W19" s="428">
        <f t="shared" si="25"/>
        <v>0</v>
      </c>
      <c r="X19" s="429">
        <f t="shared" si="11"/>
        <v>0</v>
      </c>
      <c r="Y19" s="429">
        <f t="shared" si="1"/>
        <v>0</v>
      </c>
      <c r="Z19" s="429">
        <f t="shared" si="1"/>
        <v>0</v>
      </c>
      <c r="AA19" s="429">
        <f t="shared" si="1"/>
        <v>0</v>
      </c>
      <c r="AB19" s="419">
        <f t="shared" si="12"/>
        <v>0</v>
      </c>
      <c r="AC19" s="419">
        <f t="shared" si="12"/>
        <v>0</v>
      </c>
      <c r="AD19" s="205"/>
      <c r="AE19" s="210">
        <v>2027</v>
      </c>
      <c r="AF19" s="211">
        <v>0</v>
      </c>
      <c r="AG19" s="211">
        <v>0</v>
      </c>
      <c r="AH19" s="212">
        <v>0</v>
      </c>
      <c r="AI19" s="212">
        <v>0</v>
      </c>
      <c r="AJ19" s="209">
        <f t="shared" si="26"/>
        <v>0</v>
      </c>
      <c r="AK19" s="212">
        <f t="shared" si="26"/>
        <v>0</v>
      </c>
    </row>
    <row r="20" spans="1:37" s="182" customFormat="1" outlineLevel="1" x14ac:dyDescent="0.3">
      <c r="A20" s="424"/>
      <c r="B20" s="425" t="s">
        <v>569</v>
      </c>
      <c r="C20" s="427">
        <f t="shared" si="29"/>
        <v>300</v>
      </c>
      <c r="D20" s="449"/>
      <c r="E20" s="428">
        <f t="shared" si="16"/>
        <v>0</v>
      </c>
      <c r="F20" s="449"/>
      <c r="G20" s="428">
        <f t="shared" si="17"/>
        <v>0</v>
      </c>
      <c r="H20" s="449"/>
      <c r="I20" s="428">
        <f t="shared" si="18"/>
        <v>0</v>
      </c>
      <c r="J20" s="449"/>
      <c r="K20" s="428">
        <f t="shared" si="19"/>
        <v>0</v>
      </c>
      <c r="L20" s="449"/>
      <c r="M20" s="428">
        <f t="shared" si="20"/>
        <v>0</v>
      </c>
      <c r="N20" s="452"/>
      <c r="O20" s="428">
        <f t="shared" si="21"/>
        <v>0</v>
      </c>
      <c r="P20" s="449"/>
      <c r="Q20" s="428">
        <f t="shared" si="22"/>
        <v>0</v>
      </c>
      <c r="R20" s="449"/>
      <c r="S20" s="427">
        <f t="shared" si="23"/>
        <v>0</v>
      </c>
      <c r="T20" s="449"/>
      <c r="U20" s="428">
        <f t="shared" si="24"/>
        <v>0</v>
      </c>
      <c r="V20" s="452"/>
      <c r="W20" s="428">
        <f t="shared" si="25"/>
        <v>0</v>
      </c>
      <c r="X20" s="429">
        <f t="shared" si="11"/>
        <v>0</v>
      </c>
      <c r="Y20" s="429">
        <f t="shared" si="1"/>
        <v>0</v>
      </c>
      <c r="Z20" s="429">
        <f t="shared" si="1"/>
        <v>0</v>
      </c>
      <c r="AA20" s="429">
        <f t="shared" si="1"/>
        <v>0</v>
      </c>
      <c r="AB20" s="419">
        <f t="shared" si="12"/>
        <v>0</v>
      </c>
      <c r="AC20" s="419">
        <f t="shared" si="12"/>
        <v>0</v>
      </c>
      <c r="AD20" s="205"/>
      <c r="AE20" s="206">
        <v>2028</v>
      </c>
      <c r="AF20" s="211">
        <v>0</v>
      </c>
      <c r="AG20" s="211">
        <v>0</v>
      </c>
      <c r="AH20" s="212">
        <v>0</v>
      </c>
      <c r="AI20" s="212">
        <v>0</v>
      </c>
      <c r="AJ20" s="209">
        <f t="shared" si="26"/>
        <v>0</v>
      </c>
      <c r="AK20" s="212">
        <f t="shared" si="26"/>
        <v>0</v>
      </c>
    </row>
    <row r="21" spans="1:37" s="182" customFormat="1" outlineLevel="1" x14ac:dyDescent="0.3">
      <c r="A21" s="424"/>
      <c r="B21" s="425" t="s">
        <v>570</v>
      </c>
      <c r="C21" s="427">
        <f t="shared" si="29"/>
        <v>240</v>
      </c>
      <c r="D21" s="450">
        <v>1</v>
      </c>
      <c r="E21" s="428">
        <f t="shared" si="16"/>
        <v>240</v>
      </c>
      <c r="F21" s="449"/>
      <c r="G21" s="428">
        <f t="shared" si="17"/>
        <v>0</v>
      </c>
      <c r="H21" s="450">
        <v>1</v>
      </c>
      <c r="I21" s="428">
        <f t="shared" si="18"/>
        <v>240</v>
      </c>
      <c r="J21" s="449"/>
      <c r="K21" s="428">
        <f t="shared" si="19"/>
        <v>0</v>
      </c>
      <c r="L21" s="450">
        <v>1</v>
      </c>
      <c r="M21" s="428">
        <f t="shared" si="20"/>
        <v>240</v>
      </c>
      <c r="N21" s="452"/>
      <c r="O21" s="428">
        <f t="shared" si="21"/>
        <v>0</v>
      </c>
      <c r="P21" s="450">
        <v>1</v>
      </c>
      <c r="Q21" s="428">
        <f t="shared" si="22"/>
        <v>240</v>
      </c>
      <c r="R21" s="449"/>
      <c r="S21" s="427">
        <f t="shared" si="23"/>
        <v>0</v>
      </c>
      <c r="T21" s="450">
        <v>1</v>
      </c>
      <c r="U21" s="428">
        <f t="shared" si="24"/>
        <v>240</v>
      </c>
      <c r="V21" s="452"/>
      <c r="W21" s="428">
        <f t="shared" si="25"/>
        <v>0</v>
      </c>
      <c r="X21" s="429">
        <f t="shared" si="11"/>
        <v>5</v>
      </c>
      <c r="Y21" s="429">
        <f t="shared" si="1"/>
        <v>1200</v>
      </c>
      <c r="Z21" s="429">
        <f t="shared" si="1"/>
        <v>0</v>
      </c>
      <c r="AA21" s="429">
        <f t="shared" si="1"/>
        <v>0</v>
      </c>
      <c r="AB21" s="419">
        <f t="shared" si="12"/>
        <v>5</v>
      </c>
      <c r="AC21" s="419">
        <f t="shared" si="12"/>
        <v>1200</v>
      </c>
      <c r="AD21" s="205"/>
      <c r="AE21" s="210">
        <v>2029</v>
      </c>
      <c r="AF21" s="211">
        <v>0</v>
      </c>
      <c r="AG21" s="211">
        <v>0</v>
      </c>
      <c r="AH21" s="212">
        <v>0</v>
      </c>
      <c r="AI21" s="212">
        <v>0</v>
      </c>
      <c r="AJ21" s="209">
        <f t="shared" si="26"/>
        <v>0</v>
      </c>
      <c r="AK21" s="212">
        <f t="shared" si="26"/>
        <v>0</v>
      </c>
    </row>
    <row r="22" spans="1:37" s="182" customFormat="1" outlineLevel="1" x14ac:dyDescent="0.3">
      <c r="A22" s="424"/>
      <c r="B22" s="425" t="s">
        <v>571</v>
      </c>
      <c r="C22" s="427">
        <f t="shared" si="29"/>
        <v>180</v>
      </c>
      <c r="D22" s="450">
        <f>8/2</f>
        <v>4</v>
      </c>
      <c r="E22" s="428">
        <f t="shared" si="16"/>
        <v>720</v>
      </c>
      <c r="F22" s="450">
        <v>3</v>
      </c>
      <c r="G22" s="428">
        <f t="shared" si="17"/>
        <v>540</v>
      </c>
      <c r="H22" s="450">
        <v>5</v>
      </c>
      <c r="I22" s="428">
        <f t="shared" si="18"/>
        <v>900</v>
      </c>
      <c r="J22" s="450">
        <v>2</v>
      </c>
      <c r="K22" s="428">
        <f t="shared" si="19"/>
        <v>360</v>
      </c>
      <c r="L22" s="450">
        <v>4</v>
      </c>
      <c r="M22" s="428">
        <f t="shared" si="20"/>
        <v>720</v>
      </c>
      <c r="N22" s="453">
        <v>2</v>
      </c>
      <c r="O22" s="428">
        <f t="shared" si="21"/>
        <v>360</v>
      </c>
      <c r="P22" s="450">
        <v>4</v>
      </c>
      <c r="Q22" s="428">
        <f t="shared" si="22"/>
        <v>720</v>
      </c>
      <c r="R22" s="450">
        <v>2</v>
      </c>
      <c r="S22" s="427">
        <f t="shared" si="23"/>
        <v>360</v>
      </c>
      <c r="T22" s="450">
        <v>4</v>
      </c>
      <c r="U22" s="428">
        <f t="shared" si="24"/>
        <v>720</v>
      </c>
      <c r="V22" s="453">
        <v>2</v>
      </c>
      <c r="W22" s="428">
        <f t="shared" si="25"/>
        <v>360</v>
      </c>
      <c r="X22" s="429">
        <f t="shared" si="11"/>
        <v>21</v>
      </c>
      <c r="Y22" s="429">
        <f t="shared" si="1"/>
        <v>3780</v>
      </c>
      <c r="Z22" s="429">
        <f t="shared" si="1"/>
        <v>11</v>
      </c>
      <c r="AA22" s="429">
        <f t="shared" si="1"/>
        <v>1980</v>
      </c>
      <c r="AB22" s="419">
        <f t="shared" si="12"/>
        <v>32</v>
      </c>
      <c r="AC22" s="419">
        <f t="shared" si="12"/>
        <v>5760</v>
      </c>
      <c r="AD22" s="205"/>
      <c r="AE22" s="206">
        <v>2030</v>
      </c>
      <c r="AF22" s="211">
        <v>0</v>
      </c>
      <c r="AG22" s="211">
        <v>0</v>
      </c>
      <c r="AH22" s="212">
        <v>0</v>
      </c>
      <c r="AI22" s="212">
        <v>0</v>
      </c>
      <c r="AJ22" s="209">
        <f t="shared" si="26"/>
        <v>0</v>
      </c>
      <c r="AK22" s="212">
        <f t="shared" si="26"/>
        <v>0</v>
      </c>
    </row>
    <row r="23" spans="1:37" s="183" customFormat="1" outlineLevel="1" x14ac:dyDescent="0.3">
      <c r="A23" s="420" t="s">
        <v>574</v>
      </c>
      <c r="B23" s="421" t="s">
        <v>575</v>
      </c>
      <c r="C23" s="423"/>
      <c r="D23" s="448">
        <f>D24+D30</f>
        <v>3</v>
      </c>
      <c r="E23" s="423">
        <f t="shared" ref="E23:W23" si="30">E24+E30</f>
        <v>450</v>
      </c>
      <c r="F23" s="448">
        <f t="shared" si="30"/>
        <v>67</v>
      </c>
      <c r="G23" s="423">
        <f t="shared" si="30"/>
        <v>10240</v>
      </c>
      <c r="H23" s="448">
        <f t="shared" si="30"/>
        <v>3</v>
      </c>
      <c r="I23" s="423">
        <f t="shared" si="30"/>
        <v>500</v>
      </c>
      <c r="J23" s="448">
        <f t="shared" si="30"/>
        <v>66</v>
      </c>
      <c r="K23" s="423">
        <f t="shared" si="30"/>
        <v>10090</v>
      </c>
      <c r="L23" s="448">
        <f t="shared" si="30"/>
        <v>4</v>
      </c>
      <c r="M23" s="423">
        <f t="shared" si="30"/>
        <v>650</v>
      </c>
      <c r="N23" s="448">
        <f t="shared" si="30"/>
        <v>66</v>
      </c>
      <c r="O23" s="423">
        <f t="shared" si="30"/>
        <v>10040</v>
      </c>
      <c r="P23" s="448">
        <f t="shared" si="30"/>
        <v>3</v>
      </c>
      <c r="Q23" s="423">
        <f t="shared" si="30"/>
        <v>500</v>
      </c>
      <c r="R23" s="448">
        <f t="shared" si="30"/>
        <v>67</v>
      </c>
      <c r="S23" s="423">
        <f t="shared" si="30"/>
        <v>10240</v>
      </c>
      <c r="T23" s="448">
        <f t="shared" si="30"/>
        <v>3</v>
      </c>
      <c r="U23" s="423">
        <f t="shared" si="30"/>
        <v>500</v>
      </c>
      <c r="V23" s="448">
        <f t="shared" si="30"/>
        <v>67</v>
      </c>
      <c r="W23" s="423">
        <f t="shared" si="30"/>
        <v>10190</v>
      </c>
      <c r="X23" s="438">
        <f t="shared" si="11"/>
        <v>16</v>
      </c>
      <c r="Y23" s="438">
        <f t="shared" si="1"/>
        <v>2600</v>
      </c>
      <c r="Z23" s="438">
        <f t="shared" si="1"/>
        <v>333</v>
      </c>
      <c r="AA23" s="438">
        <f t="shared" si="1"/>
        <v>50800</v>
      </c>
      <c r="AB23" s="439">
        <f t="shared" si="12"/>
        <v>349</v>
      </c>
      <c r="AC23" s="439">
        <f t="shared" si="12"/>
        <v>53400</v>
      </c>
      <c r="AD23" s="200"/>
      <c r="AE23" s="223" t="s">
        <v>599</v>
      </c>
      <c r="AF23" s="225">
        <f>SUM(AF24:AF28)</f>
        <v>359</v>
      </c>
      <c r="AG23" s="225">
        <f t="shared" ref="AG23:AI23" si="31">SUM(AG24:AG28)</f>
        <v>56880</v>
      </c>
      <c r="AH23" s="225">
        <f t="shared" si="31"/>
        <v>863</v>
      </c>
      <c r="AI23" s="225">
        <f t="shared" si="31"/>
        <v>146430</v>
      </c>
      <c r="AJ23" s="225">
        <f t="shared" ref="AJ23" si="32">SUM(AJ24:AJ28)</f>
        <v>1222</v>
      </c>
      <c r="AK23" s="225">
        <f t="shared" ref="AK23" si="33">SUM(AK24:AK28)</f>
        <v>203310</v>
      </c>
    </row>
    <row r="24" spans="1:37" s="183" customFormat="1" outlineLevel="1" x14ac:dyDescent="0.3">
      <c r="A24" s="420">
        <v>1</v>
      </c>
      <c r="B24" s="421" t="s">
        <v>566</v>
      </c>
      <c r="C24" s="423"/>
      <c r="D24" s="448">
        <f>SUM(D25:D29)</f>
        <v>3</v>
      </c>
      <c r="E24" s="423">
        <f t="shared" ref="E24:W24" si="34">SUM(E25:E29)</f>
        <v>450</v>
      </c>
      <c r="F24" s="448">
        <f t="shared" si="34"/>
        <v>64</v>
      </c>
      <c r="G24" s="423">
        <f t="shared" si="34"/>
        <v>9700</v>
      </c>
      <c r="H24" s="448">
        <f t="shared" si="34"/>
        <v>3</v>
      </c>
      <c r="I24" s="423">
        <f t="shared" si="34"/>
        <v>500</v>
      </c>
      <c r="J24" s="448">
        <f t="shared" si="34"/>
        <v>63</v>
      </c>
      <c r="K24" s="423">
        <f t="shared" si="34"/>
        <v>9550</v>
      </c>
      <c r="L24" s="448">
        <f t="shared" si="34"/>
        <v>4</v>
      </c>
      <c r="M24" s="423">
        <f t="shared" si="34"/>
        <v>650</v>
      </c>
      <c r="N24" s="448">
        <f t="shared" si="34"/>
        <v>63</v>
      </c>
      <c r="O24" s="423">
        <f t="shared" si="34"/>
        <v>9500</v>
      </c>
      <c r="P24" s="448">
        <f t="shared" si="34"/>
        <v>3</v>
      </c>
      <c r="Q24" s="423">
        <f t="shared" si="34"/>
        <v>500</v>
      </c>
      <c r="R24" s="448">
        <f t="shared" si="34"/>
        <v>64</v>
      </c>
      <c r="S24" s="423">
        <f t="shared" si="34"/>
        <v>9700</v>
      </c>
      <c r="T24" s="448">
        <f t="shared" si="34"/>
        <v>3</v>
      </c>
      <c r="U24" s="423">
        <f t="shared" si="34"/>
        <v>500</v>
      </c>
      <c r="V24" s="448">
        <f t="shared" si="34"/>
        <v>64</v>
      </c>
      <c r="W24" s="423">
        <f t="shared" si="34"/>
        <v>9650</v>
      </c>
      <c r="X24" s="438">
        <f t="shared" si="11"/>
        <v>16</v>
      </c>
      <c r="Y24" s="438">
        <f t="shared" si="1"/>
        <v>2600</v>
      </c>
      <c r="Z24" s="438">
        <f t="shared" si="1"/>
        <v>318</v>
      </c>
      <c r="AA24" s="438">
        <f t="shared" si="1"/>
        <v>48100</v>
      </c>
      <c r="AB24" s="439">
        <f t="shared" si="12"/>
        <v>334</v>
      </c>
      <c r="AC24" s="439">
        <f t="shared" si="12"/>
        <v>50700</v>
      </c>
      <c r="AD24" s="200"/>
      <c r="AE24" s="199">
        <v>2026</v>
      </c>
      <c r="AF24" s="224">
        <f>AF12+AF18</f>
        <v>72</v>
      </c>
      <c r="AG24" s="224">
        <f>AG12+AG18</f>
        <v>11510</v>
      </c>
      <c r="AH24" s="224">
        <f t="shared" ref="AH24:AI24" si="35">AH12+AH18</f>
        <v>191</v>
      </c>
      <c r="AI24" s="224">
        <f t="shared" si="35"/>
        <v>33380</v>
      </c>
      <c r="AJ24" s="224">
        <f t="shared" ref="AJ24:AK24" si="36">AJ12+AJ18</f>
        <v>263</v>
      </c>
      <c r="AK24" s="224">
        <f t="shared" si="36"/>
        <v>44890</v>
      </c>
    </row>
    <row r="25" spans="1:37" s="182" customFormat="1" outlineLevel="1" x14ac:dyDescent="0.3">
      <c r="A25" s="424"/>
      <c r="B25" s="425" t="s">
        <v>567</v>
      </c>
      <c r="C25" s="426">
        <v>400</v>
      </c>
      <c r="D25" s="449"/>
      <c r="E25" s="428">
        <f t="shared" si="16"/>
        <v>0</v>
      </c>
      <c r="F25" s="449"/>
      <c r="G25" s="428">
        <f t="shared" si="17"/>
        <v>0</v>
      </c>
      <c r="H25" s="449"/>
      <c r="I25" s="428">
        <f t="shared" si="18"/>
        <v>0</v>
      </c>
      <c r="J25" s="449"/>
      <c r="K25" s="428">
        <f t="shared" si="19"/>
        <v>0</v>
      </c>
      <c r="L25" s="449"/>
      <c r="M25" s="428">
        <f t="shared" si="20"/>
        <v>0</v>
      </c>
      <c r="N25" s="452"/>
      <c r="O25" s="428">
        <f t="shared" si="21"/>
        <v>0</v>
      </c>
      <c r="P25" s="449"/>
      <c r="Q25" s="428">
        <f t="shared" si="22"/>
        <v>0</v>
      </c>
      <c r="R25" s="449"/>
      <c r="S25" s="427">
        <f t="shared" si="23"/>
        <v>0</v>
      </c>
      <c r="T25" s="449"/>
      <c r="U25" s="428">
        <f t="shared" si="24"/>
        <v>0</v>
      </c>
      <c r="V25" s="452"/>
      <c r="W25" s="428">
        <f t="shared" si="25"/>
        <v>0</v>
      </c>
      <c r="X25" s="429">
        <f t="shared" si="11"/>
        <v>0</v>
      </c>
      <c r="Y25" s="429">
        <f t="shared" si="11"/>
        <v>0</v>
      </c>
      <c r="Z25" s="429">
        <f t="shared" si="11"/>
        <v>0</v>
      </c>
      <c r="AA25" s="429">
        <f t="shared" si="11"/>
        <v>0</v>
      </c>
      <c r="AB25" s="419">
        <f t="shared" si="12"/>
        <v>0</v>
      </c>
      <c r="AC25" s="419">
        <f t="shared" si="12"/>
        <v>0</v>
      </c>
      <c r="AD25" s="205"/>
      <c r="AE25" s="199">
        <v>2027</v>
      </c>
      <c r="AF25" s="224">
        <f t="shared" ref="AF25:AG25" si="37">AF13+AF19</f>
        <v>72</v>
      </c>
      <c r="AG25" s="224">
        <f t="shared" si="37"/>
        <v>11340</v>
      </c>
      <c r="AH25" s="224">
        <f t="shared" ref="AH25:AI25" si="38">AH13+AH19</f>
        <v>197</v>
      </c>
      <c r="AI25" s="224">
        <f t="shared" si="38"/>
        <v>34850</v>
      </c>
      <c r="AJ25" s="224">
        <f t="shared" ref="AJ25:AK25" si="39">AJ13+AJ19</f>
        <v>269</v>
      </c>
      <c r="AK25" s="224">
        <f t="shared" si="39"/>
        <v>46190</v>
      </c>
    </row>
    <row r="26" spans="1:37" s="182" customFormat="1" outlineLevel="1" x14ac:dyDescent="0.3">
      <c r="A26" s="424"/>
      <c r="B26" s="425" t="s">
        <v>568</v>
      </c>
      <c r="C26" s="426">
        <v>300</v>
      </c>
      <c r="D26" s="449"/>
      <c r="E26" s="428">
        <f t="shared" si="16"/>
        <v>0</v>
      </c>
      <c r="F26" s="449"/>
      <c r="G26" s="428">
        <f t="shared" si="17"/>
        <v>0</v>
      </c>
      <c r="H26" s="449"/>
      <c r="I26" s="428">
        <f t="shared" si="18"/>
        <v>0</v>
      </c>
      <c r="J26" s="449"/>
      <c r="K26" s="428">
        <f t="shared" si="19"/>
        <v>0</v>
      </c>
      <c r="L26" s="449"/>
      <c r="M26" s="428">
        <f t="shared" si="20"/>
        <v>0</v>
      </c>
      <c r="N26" s="452"/>
      <c r="O26" s="428">
        <f t="shared" si="21"/>
        <v>0</v>
      </c>
      <c r="P26" s="449"/>
      <c r="Q26" s="428">
        <f t="shared" si="22"/>
        <v>0</v>
      </c>
      <c r="R26" s="449"/>
      <c r="S26" s="427">
        <f t="shared" si="23"/>
        <v>0</v>
      </c>
      <c r="T26" s="449"/>
      <c r="U26" s="428">
        <f t="shared" si="24"/>
        <v>0</v>
      </c>
      <c r="V26" s="452"/>
      <c r="W26" s="428">
        <f t="shared" si="25"/>
        <v>0</v>
      </c>
      <c r="X26" s="429">
        <f t="shared" si="11"/>
        <v>0</v>
      </c>
      <c r="Y26" s="429">
        <f t="shared" si="11"/>
        <v>0</v>
      </c>
      <c r="Z26" s="429">
        <f t="shared" si="11"/>
        <v>0</v>
      </c>
      <c r="AA26" s="429">
        <f t="shared" si="11"/>
        <v>0</v>
      </c>
      <c r="AB26" s="419">
        <f t="shared" si="12"/>
        <v>0</v>
      </c>
      <c r="AC26" s="419">
        <f t="shared" si="12"/>
        <v>0</v>
      </c>
      <c r="AD26" s="205"/>
      <c r="AE26" s="199">
        <v>2028</v>
      </c>
      <c r="AF26" s="224">
        <f t="shared" ref="AF26:AG26" si="40">AF14+AF20</f>
        <v>72</v>
      </c>
      <c r="AG26" s="224">
        <f t="shared" si="40"/>
        <v>11310</v>
      </c>
      <c r="AH26" s="224">
        <f t="shared" ref="AH26:AI26" si="41">AH14+AH20</f>
        <v>171</v>
      </c>
      <c r="AI26" s="224">
        <f t="shared" si="41"/>
        <v>28950</v>
      </c>
      <c r="AJ26" s="224">
        <f t="shared" ref="AJ26:AK26" si="42">AJ14+AJ20</f>
        <v>243</v>
      </c>
      <c r="AK26" s="224">
        <f t="shared" si="42"/>
        <v>40260</v>
      </c>
    </row>
    <row r="27" spans="1:37" s="182" customFormat="1" outlineLevel="1" x14ac:dyDescent="0.3">
      <c r="A27" s="424"/>
      <c r="B27" s="425" t="s">
        <v>569</v>
      </c>
      <c r="C27" s="426">
        <v>250</v>
      </c>
      <c r="D27" s="449"/>
      <c r="E27" s="428">
        <f t="shared" si="16"/>
        <v>0</v>
      </c>
      <c r="F27" s="449"/>
      <c r="G27" s="428">
        <f t="shared" si="17"/>
        <v>0</v>
      </c>
      <c r="H27" s="449"/>
      <c r="I27" s="428">
        <f t="shared" si="18"/>
        <v>0</v>
      </c>
      <c r="J27" s="449"/>
      <c r="K27" s="428">
        <f t="shared" si="19"/>
        <v>0</v>
      </c>
      <c r="L27" s="449"/>
      <c r="M27" s="428">
        <f t="shared" si="20"/>
        <v>0</v>
      </c>
      <c r="N27" s="452"/>
      <c r="O27" s="428">
        <f t="shared" si="21"/>
        <v>0</v>
      </c>
      <c r="P27" s="449"/>
      <c r="Q27" s="428">
        <f t="shared" si="22"/>
        <v>0</v>
      </c>
      <c r="R27" s="449"/>
      <c r="S27" s="427">
        <f t="shared" si="23"/>
        <v>0</v>
      </c>
      <c r="T27" s="449"/>
      <c r="U27" s="428">
        <f t="shared" si="24"/>
        <v>0</v>
      </c>
      <c r="V27" s="452"/>
      <c r="W27" s="428">
        <f t="shared" si="25"/>
        <v>0</v>
      </c>
      <c r="X27" s="429">
        <f t="shared" si="11"/>
        <v>0</v>
      </c>
      <c r="Y27" s="429">
        <f t="shared" si="11"/>
        <v>0</v>
      </c>
      <c r="Z27" s="429">
        <f t="shared" si="11"/>
        <v>0</v>
      </c>
      <c r="AA27" s="429">
        <f t="shared" si="11"/>
        <v>0</v>
      </c>
      <c r="AB27" s="419">
        <f t="shared" si="12"/>
        <v>0</v>
      </c>
      <c r="AC27" s="419">
        <f t="shared" si="12"/>
        <v>0</v>
      </c>
      <c r="AD27" s="205"/>
      <c r="AE27" s="199">
        <v>2029</v>
      </c>
      <c r="AF27" s="224">
        <f t="shared" ref="AF27:AG27" si="43">AF15+AF21</f>
        <v>72</v>
      </c>
      <c r="AG27" s="224">
        <f t="shared" si="43"/>
        <v>11560</v>
      </c>
      <c r="AH27" s="224">
        <f t="shared" ref="AH27:AI27" si="44">AH15+AH21</f>
        <v>152</v>
      </c>
      <c r="AI27" s="224">
        <f t="shared" si="44"/>
        <v>24650</v>
      </c>
      <c r="AJ27" s="224">
        <f t="shared" ref="AJ27:AK27" si="45">AJ15+AJ21</f>
        <v>224</v>
      </c>
      <c r="AK27" s="224">
        <f t="shared" si="45"/>
        <v>36210</v>
      </c>
    </row>
    <row r="28" spans="1:37" s="182" customFormat="1" outlineLevel="1" x14ac:dyDescent="0.3">
      <c r="A28" s="424"/>
      <c r="B28" s="425" t="s">
        <v>570</v>
      </c>
      <c r="C28" s="427">
        <v>200</v>
      </c>
      <c r="D28" s="450">
        <v>0</v>
      </c>
      <c r="E28" s="428">
        <f t="shared" si="16"/>
        <v>0</v>
      </c>
      <c r="F28" s="450">
        <f>4/2</f>
        <v>2</v>
      </c>
      <c r="G28" s="428">
        <f t="shared" si="17"/>
        <v>400</v>
      </c>
      <c r="H28" s="450">
        <v>1</v>
      </c>
      <c r="I28" s="428">
        <f t="shared" si="18"/>
        <v>200</v>
      </c>
      <c r="J28" s="450">
        <v>2</v>
      </c>
      <c r="K28" s="428">
        <f t="shared" si="19"/>
        <v>400</v>
      </c>
      <c r="L28" s="449">
        <v>1</v>
      </c>
      <c r="M28" s="428">
        <f t="shared" si="20"/>
        <v>200</v>
      </c>
      <c r="N28" s="453">
        <v>1</v>
      </c>
      <c r="O28" s="428">
        <f t="shared" si="21"/>
        <v>200</v>
      </c>
      <c r="P28" s="449">
        <v>1</v>
      </c>
      <c r="Q28" s="428">
        <f t="shared" si="22"/>
        <v>200</v>
      </c>
      <c r="R28" s="450">
        <v>2</v>
      </c>
      <c r="S28" s="427">
        <f t="shared" si="23"/>
        <v>400</v>
      </c>
      <c r="T28" s="450">
        <v>1</v>
      </c>
      <c r="U28" s="428">
        <f t="shared" si="24"/>
        <v>200</v>
      </c>
      <c r="V28" s="453">
        <v>1</v>
      </c>
      <c r="W28" s="428">
        <f t="shared" si="25"/>
        <v>200</v>
      </c>
      <c r="X28" s="429">
        <f t="shared" si="11"/>
        <v>4</v>
      </c>
      <c r="Y28" s="429">
        <f t="shared" si="11"/>
        <v>800</v>
      </c>
      <c r="Z28" s="429">
        <f t="shared" si="11"/>
        <v>8</v>
      </c>
      <c r="AA28" s="429">
        <f t="shared" si="11"/>
        <v>1600</v>
      </c>
      <c r="AB28" s="419">
        <f t="shared" si="12"/>
        <v>12</v>
      </c>
      <c r="AC28" s="419">
        <f t="shared" si="12"/>
        <v>2400</v>
      </c>
      <c r="AD28" s="205"/>
      <c r="AE28" s="199">
        <v>2030</v>
      </c>
      <c r="AF28" s="224">
        <f t="shared" ref="AF28:AG28" si="46">AF16+AF22</f>
        <v>71</v>
      </c>
      <c r="AG28" s="224">
        <f t="shared" si="46"/>
        <v>11160</v>
      </c>
      <c r="AH28" s="224">
        <f t="shared" ref="AH28:AI28" si="47">AH16+AH22</f>
        <v>152</v>
      </c>
      <c r="AI28" s="224">
        <f t="shared" si="47"/>
        <v>24600</v>
      </c>
      <c r="AJ28" s="224">
        <f t="shared" ref="AJ28:AK28" si="48">AJ16+AJ22</f>
        <v>223</v>
      </c>
      <c r="AK28" s="224">
        <f t="shared" si="48"/>
        <v>35760</v>
      </c>
    </row>
    <row r="29" spans="1:37" s="182" customFormat="1" outlineLevel="1" x14ac:dyDescent="0.3">
      <c r="A29" s="424"/>
      <c r="B29" s="425" t="s">
        <v>571</v>
      </c>
      <c r="C29" s="427">
        <v>150</v>
      </c>
      <c r="D29" s="450">
        <v>3</v>
      </c>
      <c r="E29" s="428">
        <f t="shared" si="16"/>
        <v>450</v>
      </c>
      <c r="F29" s="450">
        <v>62</v>
      </c>
      <c r="G29" s="428">
        <f t="shared" si="17"/>
        <v>9300</v>
      </c>
      <c r="H29" s="450">
        <v>2</v>
      </c>
      <c r="I29" s="428">
        <f t="shared" si="18"/>
        <v>300</v>
      </c>
      <c r="J29" s="450">
        <v>61</v>
      </c>
      <c r="K29" s="428">
        <f t="shared" si="19"/>
        <v>9150</v>
      </c>
      <c r="L29" s="450">
        <v>3</v>
      </c>
      <c r="M29" s="428">
        <f t="shared" si="20"/>
        <v>450</v>
      </c>
      <c r="N29" s="453">
        <v>62</v>
      </c>
      <c r="O29" s="428">
        <f t="shared" si="21"/>
        <v>9300</v>
      </c>
      <c r="P29" s="450">
        <v>2</v>
      </c>
      <c r="Q29" s="428">
        <f t="shared" si="22"/>
        <v>300</v>
      </c>
      <c r="R29" s="450">
        <v>62</v>
      </c>
      <c r="S29" s="427">
        <f t="shared" si="23"/>
        <v>9300</v>
      </c>
      <c r="T29" s="450">
        <v>2</v>
      </c>
      <c r="U29" s="428">
        <f t="shared" si="24"/>
        <v>300</v>
      </c>
      <c r="V29" s="453">
        <v>63</v>
      </c>
      <c r="W29" s="428">
        <f t="shared" si="25"/>
        <v>9450</v>
      </c>
      <c r="X29" s="429">
        <f t="shared" si="11"/>
        <v>12</v>
      </c>
      <c r="Y29" s="429">
        <f t="shared" si="11"/>
        <v>1800</v>
      </c>
      <c r="Z29" s="429">
        <f t="shared" si="11"/>
        <v>310</v>
      </c>
      <c r="AA29" s="429">
        <f t="shared" si="11"/>
        <v>46500</v>
      </c>
      <c r="AB29" s="419">
        <f t="shared" si="12"/>
        <v>322</v>
      </c>
      <c r="AC29" s="419">
        <f t="shared" si="12"/>
        <v>48300</v>
      </c>
      <c r="AD29" s="205"/>
      <c r="AE29" s="183"/>
    </row>
    <row r="30" spans="1:37" s="183" customFormat="1" ht="33.6" outlineLevel="1" x14ac:dyDescent="0.3">
      <c r="A30" s="420">
        <v>2</v>
      </c>
      <c r="B30" s="421" t="s">
        <v>572</v>
      </c>
      <c r="C30" s="423"/>
      <c r="D30" s="448">
        <f>SUM(D31:D35)</f>
        <v>0</v>
      </c>
      <c r="E30" s="423">
        <f t="shared" ref="E30:W30" si="49">SUM(E31:E35)</f>
        <v>0</v>
      </c>
      <c r="F30" s="448">
        <f t="shared" si="49"/>
        <v>3</v>
      </c>
      <c r="G30" s="423">
        <f t="shared" si="49"/>
        <v>540</v>
      </c>
      <c r="H30" s="448">
        <f t="shared" si="49"/>
        <v>0</v>
      </c>
      <c r="I30" s="423">
        <f t="shared" si="49"/>
        <v>0</v>
      </c>
      <c r="J30" s="448">
        <f t="shared" si="49"/>
        <v>3</v>
      </c>
      <c r="K30" s="423">
        <f t="shared" si="49"/>
        <v>540</v>
      </c>
      <c r="L30" s="448">
        <f t="shared" si="49"/>
        <v>0</v>
      </c>
      <c r="M30" s="423">
        <f t="shared" si="49"/>
        <v>0</v>
      </c>
      <c r="N30" s="448">
        <f t="shared" si="49"/>
        <v>3</v>
      </c>
      <c r="O30" s="423">
        <f t="shared" si="49"/>
        <v>540</v>
      </c>
      <c r="P30" s="448">
        <f t="shared" si="49"/>
        <v>0</v>
      </c>
      <c r="Q30" s="423">
        <f t="shared" si="49"/>
        <v>0</v>
      </c>
      <c r="R30" s="448">
        <f t="shared" si="49"/>
        <v>3</v>
      </c>
      <c r="S30" s="423">
        <f t="shared" si="49"/>
        <v>540</v>
      </c>
      <c r="T30" s="448">
        <f t="shared" si="49"/>
        <v>0</v>
      </c>
      <c r="U30" s="423">
        <f t="shared" si="49"/>
        <v>0</v>
      </c>
      <c r="V30" s="448">
        <f t="shared" si="49"/>
        <v>3</v>
      </c>
      <c r="W30" s="423">
        <f t="shared" si="49"/>
        <v>540</v>
      </c>
      <c r="X30" s="438">
        <f t="shared" si="11"/>
        <v>0</v>
      </c>
      <c r="Y30" s="438">
        <f t="shared" si="11"/>
        <v>0</v>
      </c>
      <c r="Z30" s="438">
        <f t="shared" si="11"/>
        <v>15</v>
      </c>
      <c r="AA30" s="438">
        <f t="shared" si="11"/>
        <v>2700</v>
      </c>
      <c r="AB30" s="439">
        <f t="shared" si="12"/>
        <v>15</v>
      </c>
      <c r="AC30" s="439">
        <f t="shared" si="12"/>
        <v>2700</v>
      </c>
      <c r="AD30" s="200"/>
    </row>
    <row r="31" spans="1:37" s="182" customFormat="1" outlineLevel="1" x14ac:dyDescent="0.3">
      <c r="A31" s="424"/>
      <c r="B31" s="425" t="s">
        <v>567</v>
      </c>
      <c r="C31" s="427">
        <f>C25*1.2</f>
        <v>480</v>
      </c>
      <c r="D31" s="449"/>
      <c r="E31" s="428">
        <f t="shared" si="16"/>
        <v>0</v>
      </c>
      <c r="F31" s="449"/>
      <c r="G31" s="428">
        <f t="shared" si="17"/>
        <v>0</v>
      </c>
      <c r="H31" s="449"/>
      <c r="I31" s="428">
        <f t="shared" si="18"/>
        <v>0</v>
      </c>
      <c r="J31" s="449"/>
      <c r="K31" s="428">
        <f t="shared" si="19"/>
        <v>0</v>
      </c>
      <c r="L31" s="449"/>
      <c r="M31" s="428">
        <f t="shared" si="20"/>
        <v>0</v>
      </c>
      <c r="N31" s="452"/>
      <c r="O31" s="428">
        <f t="shared" si="21"/>
        <v>0</v>
      </c>
      <c r="P31" s="449"/>
      <c r="Q31" s="428">
        <f t="shared" si="22"/>
        <v>0</v>
      </c>
      <c r="R31" s="449"/>
      <c r="S31" s="427">
        <f t="shared" si="23"/>
        <v>0</v>
      </c>
      <c r="T31" s="449"/>
      <c r="U31" s="428">
        <f t="shared" si="24"/>
        <v>0</v>
      </c>
      <c r="V31" s="452"/>
      <c r="W31" s="428">
        <f t="shared" si="25"/>
        <v>0</v>
      </c>
      <c r="X31" s="429">
        <f t="shared" si="11"/>
        <v>0</v>
      </c>
      <c r="Y31" s="429">
        <f t="shared" si="11"/>
        <v>0</v>
      </c>
      <c r="Z31" s="429">
        <f t="shared" si="11"/>
        <v>0</v>
      </c>
      <c r="AA31" s="429">
        <f t="shared" si="11"/>
        <v>0</v>
      </c>
      <c r="AB31" s="419">
        <f t="shared" si="12"/>
        <v>0</v>
      </c>
      <c r="AC31" s="419">
        <f t="shared" si="12"/>
        <v>0</v>
      </c>
      <c r="AD31" s="205"/>
    </row>
    <row r="32" spans="1:37" s="182" customFormat="1" outlineLevel="1" x14ac:dyDescent="0.3">
      <c r="A32" s="424"/>
      <c r="B32" s="425" t="s">
        <v>568</v>
      </c>
      <c r="C32" s="427">
        <f t="shared" ref="C32:C35" si="50">C26*1.2</f>
        <v>360</v>
      </c>
      <c r="D32" s="449"/>
      <c r="E32" s="428">
        <f t="shared" si="16"/>
        <v>0</v>
      </c>
      <c r="F32" s="449"/>
      <c r="G32" s="428">
        <f t="shared" si="17"/>
        <v>0</v>
      </c>
      <c r="H32" s="449"/>
      <c r="I32" s="428">
        <f t="shared" si="18"/>
        <v>0</v>
      </c>
      <c r="J32" s="449"/>
      <c r="K32" s="428">
        <f t="shared" si="19"/>
        <v>0</v>
      </c>
      <c r="L32" s="449"/>
      <c r="M32" s="428">
        <f t="shared" si="20"/>
        <v>0</v>
      </c>
      <c r="N32" s="452"/>
      <c r="O32" s="428">
        <f t="shared" si="21"/>
        <v>0</v>
      </c>
      <c r="P32" s="449"/>
      <c r="Q32" s="428">
        <f t="shared" si="22"/>
        <v>0</v>
      </c>
      <c r="R32" s="449"/>
      <c r="S32" s="427">
        <f t="shared" si="23"/>
        <v>0</v>
      </c>
      <c r="T32" s="449"/>
      <c r="U32" s="428">
        <f t="shared" si="24"/>
        <v>0</v>
      </c>
      <c r="V32" s="452"/>
      <c r="W32" s="428">
        <f t="shared" si="25"/>
        <v>0</v>
      </c>
      <c r="X32" s="429">
        <f t="shared" si="11"/>
        <v>0</v>
      </c>
      <c r="Y32" s="429">
        <f t="shared" si="11"/>
        <v>0</v>
      </c>
      <c r="Z32" s="429">
        <f t="shared" si="11"/>
        <v>0</v>
      </c>
      <c r="AA32" s="429">
        <f t="shared" si="11"/>
        <v>0</v>
      </c>
      <c r="AB32" s="419">
        <f t="shared" si="12"/>
        <v>0</v>
      </c>
      <c r="AC32" s="419">
        <f t="shared" si="12"/>
        <v>0</v>
      </c>
      <c r="AD32" s="205"/>
    </row>
    <row r="33" spans="1:30" s="182" customFormat="1" outlineLevel="1" x14ac:dyDescent="0.3">
      <c r="A33" s="424"/>
      <c r="B33" s="425" t="s">
        <v>569</v>
      </c>
      <c r="C33" s="427">
        <f t="shared" si="50"/>
        <v>300</v>
      </c>
      <c r="D33" s="449"/>
      <c r="E33" s="428">
        <f t="shared" si="16"/>
        <v>0</v>
      </c>
      <c r="F33" s="449"/>
      <c r="G33" s="428">
        <f t="shared" si="17"/>
        <v>0</v>
      </c>
      <c r="H33" s="449"/>
      <c r="I33" s="428">
        <f t="shared" si="18"/>
        <v>0</v>
      </c>
      <c r="J33" s="449"/>
      <c r="K33" s="428">
        <f t="shared" si="19"/>
        <v>0</v>
      </c>
      <c r="L33" s="449"/>
      <c r="M33" s="428">
        <f t="shared" si="20"/>
        <v>0</v>
      </c>
      <c r="N33" s="452"/>
      <c r="O33" s="428">
        <f t="shared" si="21"/>
        <v>0</v>
      </c>
      <c r="P33" s="449"/>
      <c r="Q33" s="428">
        <f t="shared" si="22"/>
        <v>0</v>
      </c>
      <c r="R33" s="449"/>
      <c r="S33" s="427">
        <f t="shared" si="23"/>
        <v>0</v>
      </c>
      <c r="T33" s="449"/>
      <c r="U33" s="428">
        <f t="shared" si="24"/>
        <v>0</v>
      </c>
      <c r="V33" s="452"/>
      <c r="W33" s="428">
        <f t="shared" si="25"/>
        <v>0</v>
      </c>
      <c r="X33" s="429">
        <f t="shared" si="11"/>
        <v>0</v>
      </c>
      <c r="Y33" s="429">
        <f t="shared" si="11"/>
        <v>0</v>
      </c>
      <c r="Z33" s="429">
        <f t="shared" si="11"/>
        <v>0</v>
      </c>
      <c r="AA33" s="429">
        <f t="shared" si="11"/>
        <v>0</v>
      </c>
      <c r="AB33" s="419">
        <f t="shared" si="12"/>
        <v>0</v>
      </c>
      <c r="AC33" s="419">
        <f t="shared" si="12"/>
        <v>0</v>
      </c>
      <c r="AD33" s="205"/>
    </row>
    <row r="34" spans="1:30" s="182" customFormat="1" outlineLevel="1" x14ac:dyDescent="0.3">
      <c r="A34" s="424"/>
      <c r="B34" s="425" t="s">
        <v>570</v>
      </c>
      <c r="C34" s="427">
        <f t="shared" si="50"/>
        <v>240</v>
      </c>
      <c r="D34" s="449"/>
      <c r="E34" s="428">
        <f t="shared" si="16"/>
        <v>0</v>
      </c>
      <c r="F34" s="449"/>
      <c r="G34" s="428">
        <f t="shared" si="17"/>
        <v>0</v>
      </c>
      <c r="H34" s="449"/>
      <c r="I34" s="428">
        <f t="shared" si="18"/>
        <v>0</v>
      </c>
      <c r="J34" s="449"/>
      <c r="K34" s="428">
        <f t="shared" si="19"/>
        <v>0</v>
      </c>
      <c r="L34" s="449"/>
      <c r="M34" s="428">
        <f t="shared" si="20"/>
        <v>0</v>
      </c>
      <c r="N34" s="452"/>
      <c r="O34" s="428">
        <f t="shared" si="21"/>
        <v>0</v>
      </c>
      <c r="P34" s="449"/>
      <c r="Q34" s="428">
        <f t="shared" si="22"/>
        <v>0</v>
      </c>
      <c r="R34" s="449"/>
      <c r="S34" s="427">
        <f t="shared" si="23"/>
        <v>0</v>
      </c>
      <c r="T34" s="449"/>
      <c r="U34" s="428">
        <f t="shared" si="24"/>
        <v>0</v>
      </c>
      <c r="V34" s="452"/>
      <c r="W34" s="428">
        <f t="shared" si="25"/>
        <v>0</v>
      </c>
      <c r="X34" s="429">
        <f t="shared" si="11"/>
        <v>0</v>
      </c>
      <c r="Y34" s="429">
        <f t="shared" si="11"/>
        <v>0</v>
      </c>
      <c r="Z34" s="429">
        <f t="shared" si="11"/>
        <v>0</v>
      </c>
      <c r="AA34" s="429">
        <f t="shared" si="11"/>
        <v>0</v>
      </c>
      <c r="AB34" s="419">
        <f t="shared" si="12"/>
        <v>0</v>
      </c>
      <c r="AC34" s="419">
        <f t="shared" si="12"/>
        <v>0</v>
      </c>
      <c r="AD34" s="205"/>
    </row>
    <row r="35" spans="1:30" s="182" customFormat="1" outlineLevel="1" x14ac:dyDescent="0.3">
      <c r="A35" s="424"/>
      <c r="B35" s="425" t="s">
        <v>571</v>
      </c>
      <c r="C35" s="427">
        <f t="shared" si="50"/>
        <v>180</v>
      </c>
      <c r="D35" s="449">
        <v>0</v>
      </c>
      <c r="E35" s="428">
        <f t="shared" si="16"/>
        <v>0</v>
      </c>
      <c r="F35" s="450">
        <v>3</v>
      </c>
      <c r="G35" s="428">
        <f t="shared" si="17"/>
        <v>540</v>
      </c>
      <c r="H35" s="449"/>
      <c r="I35" s="428">
        <f t="shared" si="18"/>
        <v>0</v>
      </c>
      <c r="J35" s="450">
        <v>3</v>
      </c>
      <c r="K35" s="428">
        <f t="shared" si="19"/>
        <v>540</v>
      </c>
      <c r="L35" s="449"/>
      <c r="M35" s="428">
        <f t="shared" si="20"/>
        <v>0</v>
      </c>
      <c r="N35" s="453">
        <v>3</v>
      </c>
      <c r="O35" s="428">
        <f t="shared" si="21"/>
        <v>540</v>
      </c>
      <c r="P35" s="449"/>
      <c r="Q35" s="428">
        <f t="shared" si="22"/>
        <v>0</v>
      </c>
      <c r="R35" s="450">
        <v>3</v>
      </c>
      <c r="S35" s="427">
        <f t="shared" si="23"/>
        <v>540</v>
      </c>
      <c r="T35" s="449"/>
      <c r="U35" s="428">
        <f t="shared" si="24"/>
        <v>0</v>
      </c>
      <c r="V35" s="453">
        <v>3</v>
      </c>
      <c r="W35" s="428">
        <f t="shared" si="25"/>
        <v>540</v>
      </c>
      <c r="X35" s="429">
        <f t="shared" si="11"/>
        <v>0</v>
      </c>
      <c r="Y35" s="429">
        <f t="shared" si="11"/>
        <v>0</v>
      </c>
      <c r="Z35" s="429">
        <f t="shared" si="11"/>
        <v>15</v>
      </c>
      <c r="AA35" s="429">
        <f t="shared" si="11"/>
        <v>2700</v>
      </c>
      <c r="AB35" s="419">
        <f t="shared" si="12"/>
        <v>15</v>
      </c>
      <c r="AC35" s="419">
        <f t="shared" si="12"/>
        <v>2700</v>
      </c>
      <c r="AD35" s="205"/>
    </row>
    <row r="36" spans="1:30" s="183" customFormat="1" outlineLevel="1" x14ac:dyDescent="0.3">
      <c r="A36" s="430" t="s">
        <v>576</v>
      </c>
      <c r="B36" s="431" t="s">
        <v>577</v>
      </c>
      <c r="C36" s="423"/>
      <c r="D36" s="448">
        <f>SUM(D37:D41)</f>
        <v>0</v>
      </c>
      <c r="E36" s="423">
        <f t="shared" ref="E36:W36" si="51">SUM(E37:E41)</f>
        <v>0</v>
      </c>
      <c r="F36" s="448">
        <f t="shared" si="51"/>
        <v>58</v>
      </c>
      <c r="G36" s="423">
        <f t="shared" si="51"/>
        <v>13050</v>
      </c>
      <c r="H36" s="448">
        <f t="shared" si="51"/>
        <v>0</v>
      </c>
      <c r="I36" s="423">
        <f t="shared" si="51"/>
        <v>0</v>
      </c>
      <c r="J36" s="448">
        <f t="shared" si="51"/>
        <v>66</v>
      </c>
      <c r="K36" s="423">
        <f t="shared" si="51"/>
        <v>14850</v>
      </c>
      <c r="L36" s="448">
        <f t="shared" si="51"/>
        <v>0</v>
      </c>
      <c r="M36" s="423">
        <f t="shared" si="51"/>
        <v>0</v>
      </c>
      <c r="N36" s="448">
        <f t="shared" si="51"/>
        <v>40</v>
      </c>
      <c r="O36" s="423">
        <f t="shared" si="51"/>
        <v>9000</v>
      </c>
      <c r="P36" s="448">
        <f t="shared" si="51"/>
        <v>0</v>
      </c>
      <c r="Q36" s="423">
        <f t="shared" si="51"/>
        <v>0</v>
      </c>
      <c r="R36" s="448">
        <f t="shared" si="51"/>
        <v>20</v>
      </c>
      <c r="S36" s="423">
        <f t="shared" si="51"/>
        <v>4500</v>
      </c>
      <c r="T36" s="448">
        <f t="shared" si="51"/>
        <v>0</v>
      </c>
      <c r="U36" s="423">
        <f t="shared" si="51"/>
        <v>0</v>
      </c>
      <c r="V36" s="448">
        <f t="shared" si="51"/>
        <v>20</v>
      </c>
      <c r="W36" s="423">
        <f t="shared" si="51"/>
        <v>4500</v>
      </c>
      <c r="X36" s="438">
        <f t="shared" si="11"/>
        <v>0</v>
      </c>
      <c r="Y36" s="438">
        <f t="shared" si="11"/>
        <v>0</v>
      </c>
      <c r="Z36" s="438">
        <f t="shared" si="11"/>
        <v>204</v>
      </c>
      <c r="AA36" s="438">
        <f t="shared" si="11"/>
        <v>45900</v>
      </c>
      <c r="AB36" s="439">
        <f t="shared" si="12"/>
        <v>204</v>
      </c>
      <c r="AC36" s="439">
        <f t="shared" si="12"/>
        <v>45900</v>
      </c>
    </row>
    <row r="37" spans="1:30" s="182" customFormat="1" outlineLevel="1" x14ac:dyDescent="0.3">
      <c r="A37" s="432"/>
      <c r="B37" s="425" t="s">
        <v>567</v>
      </c>
      <c r="C37" s="427"/>
      <c r="D37" s="449"/>
      <c r="E37" s="433"/>
      <c r="F37" s="451"/>
      <c r="G37" s="428">
        <f t="shared" si="17"/>
        <v>0</v>
      </c>
      <c r="H37" s="449"/>
      <c r="I37" s="428">
        <f t="shared" si="18"/>
        <v>0</v>
      </c>
      <c r="J37" s="451"/>
      <c r="K37" s="428">
        <f t="shared" si="19"/>
        <v>0</v>
      </c>
      <c r="L37" s="449"/>
      <c r="M37" s="428">
        <f t="shared" si="20"/>
        <v>0</v>
      </c>
      <c r="N37" s="451"/>
      <c r="O37" s="428">
        <f t="shared" si="21"/>
        <v>0</v>
      </c>
      <c r="P37" s="449"/>
      <c r="Q37" s="428">
        <f t="shared" si="22"/>
        <v>0</v>
      </c>
      <c r="R37" s="451"/>
      <c r="S37" s="427">
        <f t="shared" si="23"/>
        <v>0</v>
      </c>
      <c r="T37" s="449"/>
      <c r="U37" s="428">
        <f t="shared" si="24"/>
        <v>0</v>
      </c>
      <c r="V37" s="452"/>
      <c r="W37" s="428">
        <f t="shared" si="25"/>
        <v>0</v>
      </c>
      <c r="X37" s="429">
        <f t="shared" si="11"/>
        <v>0</v>
      </c>
      <c r="Y37" s="429">
        <f t="shared" si="11"/>
        <v>0</v>
      </c>
      <c r="Z37" s="429">
        <f t="shared" si="11"/>
        <v>0</v>
      </c>
      <c r="AA37" s="429">
        <f t="shared" si="11"/>
        <v>0</v>
      </c>
      <c r="AB37" s="419">
        <f t="shared" si="12"/>
        <v>0</v>
      </c>
      <c r="AC37" s="419">
        <f t="shared" si="12"/>
        <v>0</v>
      </c>
    </row>
    <row r="38" spans="1:30" s="182" customFormat="1" outlineLevel="1" x14ac:dyDescent="0.3">
      <c r="A38" s="432"/>
      <c r="B38" s="425" t="s">
        <v>568</v>
      </c>
      <c r="C38" s="427"/>
      <c r="D38" s="449"/>
      <c r="E38" s="433"/>
      <c r="F38" s="451"/>
      <c r="G38" s="428">
        <f t="shared" si="17"/>
        <v>0</v>
      </c>
      <c r="H38" s="449"/>
      <c r="I38" s="428">
        <f t="shared" si="18"/>
        <v>0</v>
      </c>
      <c r="J38" s="451"/>
      <c r="K38" s="428">
        <f t="shared" si="19"/>
        <v>0</v>
      </c>
      <c r="L38" s="449"/>
      <c r="M38" s="428">
        <f t="shared" si="20"/>
        <v>0</v>
      </c>
      <c r="N38" s="451"/>
      <c r="O38" s="428">
        <f t="shared" si="21"/>
        <v>0</v>
      </c>
      <c r="P38" s="449"/>
      <c r="Q38" s="428">
        <f t="shared" si="22"/>
        <v>0</v>
      </c>
      <c r="R38" s="451"/>
      <c r="S38" s="427">
        <f t="shared" si="23"/>
        <v>0</v>
      </c>
      <c r="T38" s="449"/>
      <c r="U38" s="428">
        <f t="shared" si="24"/>
        <v>0</v>
      </c>
      <c r="V38" s="452"/>
      <c r="W38" s="428">
        <f t="shared" si="25"/>
        <v>0</v>
      </c>
      <c r="X38" s="429">
        <f t="shared" si="11"/>
        <v>0</v>
      </c>
      <c r="Y38" s="429">
        <f t="shared" si="11"/>
        <v>0</v>
      </c>
      <c r="Z38" s="429">
        <f t="shared" si="11"/>
        <v>0</v>
      </c>
      <c r="AA38" s="429">
        <f t="shared" si="11"/>
        <v>0</v>
      </c>
      <c r="AB38" s="419">
        <f t="shared" si="12"/>
        <v>0</v>
      </c>
      <c r="AC38" s="419">
        <f t="shared" si="12"/>
        <v>0</v>
      </c>
    </row>
    <row r="39" spans="1:30" s="182" customFormat="1" outlineLevel="1" x14ac:dyDescent="0.3">
      <c r="A39" s="432"/>
      <c r="B39" s="425" t="s">
        <v>569</v>
      </c>
      <c r="C39" s="427"/>
      <c r="D39" s="449"/>
      <c r="E39" s="433"/>
      <c r="F39" s="451"/>
      <c r="G39" s="428">
        <f t="shared" si="17"/>
        <v>0</v>
      </c>
      <c r="H39" s="449"/>
      <c r="I39" s="428">
        <f t="shared" si="18"/>
        <v>0</v>
      </c>
      <c r="J39" s="451"/>
      <c r="K39" s="428">
        <f t="shared" si="19"/>
        <v>0</v>
      </c>
      <c r="L39" s="449"/>
      <c r="M39" s="428">
        <f t="shared" si="20"/>
        <v>0</v>
      </c>
      <c r="N39" s="451"/>
      <c r="O39" s="428">
        <f t="shared" si="21"/>
        <v>0</v>
      </c>
      <c r="P39" s="449"/>
      <c r="Q39" s="428">
        <f t="shared" si="22"/>
        <v>0</v>
      </c>
      <c r="R39" s="451"/>
      <c r="S39" s="427">
        <f t="shared" si="23"/>
        <v>0</v>
      </c>
      <c r="T39" s="449"/>
      <c r="U39" s="428">
        <f t="shared" si="24"/>
        <v>0</v>
      </c>
      <c r="V39" s="452"/>
      <c r="W39" s="428">
        <f t="shared" si="25"/>
        <v>0</v>
      </c>
      <c r="X39" s="429">
        <f t="shared" si="11"/>
        <v>0</v>
      </c>
      <c r="Y39" s="429">
        <f t="shared" si="11"/>
        <v>0</v>
      </c>
      <c r="Z39" s="429">
        <f t="shared" si="11"/>
        <v>0</v>
      </c>
      <c r="AA39" s="429">
        <f t="shared" si="11"/>
        <v>0</v>
      </c>
      <c r="AB39" s="419">
        <f t="shared" si="12"/>
        <v>0</v>
      </c>
      <c r="AC39" s="419">
        <f t="shared" si="12"/>
        <v>0</v>
      </c>
    </row>
    <row r="40" spans="1:30" s="182" customFormat="1" outlineLevel="1" x14ac:dyDescent="0.3">
      <c r="A40" s="432"/>
      <c r="B40" s="425" t="s">
        <v>570</v>
      </c>
      <c r="C40" s="427"/>
      <c r="D40" s="449"/>
      <c r="E40" s="433"/>
      <c r="F40" s="451"/>
      <c r="G40" s="428">
        <f t="shared" si="17"/>
        <v>0</v>
      </c>
      <c r="H40" s="449"/>
      <c r="I40" s="428">
        <f t="shared" si="18"/>
        <v>0</v>
      </c>
      <c r="J40" s="451"/>
      <c r="K40" s="428">
        <f t="shared" si="19"/>
        <v>0</v>
      </c>
      <c r="L40" s="449"/>
      <c r="M40" s="428">
        <f t="shared" si="20"/>
        <v>0</v>
      </c>
      <c r="N40" s="451"/>
      <c r="O40" s="428">
        <f t="shared" si="21"/>
        <v>0</v>
      </c>
      <c r="P40" s="449"/>
      <c r="Q40" s="428">
        <f t="shared" si="22"/>
        <v>0</v>
      </c>
      <c r="R40" s="451"/>
      <c r="S40" s="427">
        <f t="shared" si="23"/>
        <v>0</v>
      </c>
      <c r="T40" s="449"/>
      <c r="U40" s="428">
        <f t="shared" si="24"/>
        <v>0</v>
      </c>
      <c r="V40" s="452"/>
      <c r="W40" s="428">
        <f t="shared" si="25"/>
        <v>0</v>
      </c>
      <c r="X40" s="429">
        <f t="shared" si="11"/>
        <v>0</v>
      </c>
      <c r="Y40" s="429">
        <f t="shared" si="11"/>
        <v>0</v>
      </c>
      <c r="Z40" s="429">
        <f t="shared" si="11"/>
        <v>0</v>
      </c>
      <c r="AA40" s="429">
        <f t="shared" si="11"/>
        <v>0</v>
      </c>
      <c r="AB40" s="419">
        <f t="shared" si="12"/>
        <v>0</v>
      </c>
      <c r="AC40" s="419">
        <f t="shared" si="12"/>
        <v>0</v>
      </c>
    </row>
    <row r="41" spans="1:30" s="182" customFormat="1" outlineLevel="1" x14ac:dyDescent="0.3">
      <c r="A41" s="432"/>
      <c r="B41" s="434" t="s">
        <v>3</v>
      </c>
      <c r="C41" s="426">
        <v>225</v>
      </c>
      <c r="D41" s="449">
        <v>0</v>
      </c>
      <c r="E41" s="428">
        <f>C41*D41</f>
        <v>0</v>
      </c>
      <c r="F41" s="453">
        <v>58</v>
      </c>
      <c r="G41" s="428">
        <f t="shared" si="17"/>
        <v>13050</v>
      </c>
      <c r="H41" s="449">
        <v>0</v>
      </c>
      <c r="I41" s="428">
        <f t="shared" si="18"/>
        <v>0</v>
      </c>
      <c r="J41" s="453">
        <v>66</v>
      </c>
      <c r="K41" s="428">
        <f t="shared" si="19"/>
        <v>14850</v>
      </c>
      <c r="L41" s="452"/>
      <c r="M41" s="428">
        <f t="shared" si="20"/>
        <v>0</v>
      </c>
      <c r="N41" s="453">
        <v>40</v>
      </c>
      <c r="O41" s="428">
        <f t="shared" si="21"/>
        <v>9000</v>
      </c>
      <c r="P41" s="452"/>
      <c r="Q41" s="428">
        <f t="shared" si="22"/>
        <v>0</v>
      </c>
      <c r="R41" s="453">
        <v>20</v>
      </c>
      <c r="S41" s="427">
        <f t="shared" si="23"/>
        <v>4500</v>
      </c>
      <c r="T41" s="452"/>
      <c r="U41" s="428">
        <f t="shared" si="24"/>
        <v>0</v>
      </c>
      <c r="V41" s="453">
        <v>20</v>
      </c>
      <c r="W41" s="428">
        <f t="shared" si="25"/>
        <v>4500</v>
      </c>
      <c r="X41" s="429">
        <f t="shared" si="11"/>
        <v>0</v>
      </c>
      <c r="Y41" s="429">
        <f t="shared" si="11"/>
        <v>0</v>
      </c>
      <c r="Z41" s="429">
        <f t="shared" si="11"/>
        <v>204</v>
      </c>
      <c r="AA41" s="429">
        <f t="shared" si="11"/>
        <v>45900</v>
      </c>
      <c r="AB41" s="419">
        <f t="shared" si="12"/>
        <v>204</v>
      </c>
      <c r="AC41" s="419">
        <f t="shared" si="12"/>
        <v>45900</v>
      </c>
    </row>
    <row r="43" spans="1:30" hidden="1" x14ac:dyDescent="0.3"/>
    <row r="44" spans="1:30" hidden="1" x14ac:dyDescent="0.3">
      <c r="F44" s="187" t="s">
        <v>579</v>
      </c>
      <c r="G44" s="187" t="s">
        <v>580</v>
      </c>
      <c r="H44" s="186" t="s">
        <v>581</v>
      </c>
    </row>
    <row r="45" spans="1:30" hidden="1" x14ac:dyDescent="0.3">
      <c r="D45" s="186" t="s">
        <v>582</v>
      </c>
      <c r="E45" s="187">
        <v>2455</v>
      </c>
      <c r="F45" s="187">
        <f>F46+F47+F48+F49+F50</f>
        <v>1325</v>
      </c>
      <c r="G45" s="187">
        <f>E45-F45-H45</f>
        <v>721</v>
      </c>
      <c r="H45" s="187">
        <f t="shared" ref="H45" si="52">H46+H47+H48+H49+H50</f>
        <v>409</v>
      </c>
      <c r="I45" s="187">
        <f>F45+G45+H45</f>
        <v>2455</v>
      </c>
      <c r="J45" s="187">
        <f>I45*54/100</f>
        <v>1325.7</v>
      </c>
      <c r="K45" s="187">
        <f>J45-F46-F47-F48-F49</f>
        <v>1285.7</v>
      </c>
      <c r="L45" s="186">
        <f>F45+G45+H45</f>
        <v>2455</v>
      </c>
      <c r="M45" s="187">
        <f>G45+H45</f>
        <v>1130</v>
      </c>
      <c r="N45" s="187">
        <f>M45*100/L45</f>
        <v>46.028513238289207</v>
      </c>
    </row>
    <row r="46" spans="1:30" hidden="1" x14ac:dyDescent="0.3">
      <c r="D46" s="186" t="s">
        <v>583</v>
      </c>
      <c r="E46" s="187">
        <v>5</v>
      </c>
      <c r="F46" s="187">
        <v>5</v>
      </c>
    </row>
    <row r="47" spans="1:30" hidden="1" x14ac:dyDescent="0.3">
      <c r="D47" s="186" t="s">
        <v>584</v>
      </c>
      <c r="E47" s="187">
        <v>10</v>
      </c>
      <c r="F47" s="187">
        <v>10</v>
      </c>
    </row>
    <row r="48" spans="1:30" hidden="1" x14ac:dyDescent="0.3">
      <c r="D48" s="186" t="s">
        <v>585</v>
      </c>
      <c r="E48" s="187">
        <v>10</v>
      </c>
      <c r="F48" s="187">
        <v>10</v>
      </c>
    </row>
    <row r="49" spans="1:16" hidden="1" x14ac:dyDescent="0.3">
      <c r="D49" s="186" t="s">
        <v>586</v>
      </c>
      <c r="E49" s="187">
        <v>60</v>
      </c>
      <c r="F49" s="187">
        <v>15</v>
      </c>
      <c r="G49" s="187">
        <v>45</v>
      </c>
    </row>
    <row r="50" spans="1:16" hidden="1" x14ac:dyDescent="0.3">
      <c r="D50" s="186" t="s">
        <v>587</v>
      </c>
      <c r="E50" s="187">
        <f>E45-E46-E47-E48-E49</f>
        <v>2370</v>
      </c>
      <c r="F50" s="187">
        <v>1285</v>
      </c>
      <c r="G50" s="187">
        <f>G45-G49</f>
        <v>676</v>
      </c>
      <c r="H50" s="186">
        <v>409</v>
      </c>
      <c r="I50" s="187">
        <f>F50+G50+H50</f>
        <v>2370</v>
      </c>
    </row>
    <row r="51" spans="1:16" hidden="1" x14ac:dyDescent="0.3">
      <c r="F51" s="187">
        <f>F50/5</f>
        <v>257</v>
      </c>
      <c r="G51" s="187">
        <f>G50/5</f>
        <v>135.19999999999999</v>
      </c>
      <c r="H51" s="186">
        <v>10</v>
      </c>
    </row>
    <row r="52" spans="1:16" hidden="1" x14ac:dyDescent="0.3"/>
    <row r="53" spans="1:16" hidden="1" x14ac:dyDescent="0.3"/>
    <row r="54" spans="1:16" hidden="1" x14ac:dyDescent="0.3">
      <c r="D54" s="186" t="s">
        <v>588</v>
      </c>
      <c r="F54" s="187">
        <f>F50*5/100</f>
        <v>64.25</v>
      </c>
      <c r="G54" s="187">
        <f>G50*5/100</f>
        <v>33.799999999999997</v>
      </c>
      <c r="H54" s="186">
        <f>F54/5</f>
        <v>12.85</v>
      </c>
      <c r="I54" s="186">
        <f>G54/5</f>
        <v>6.76</v>
      </c>
      <c r="J54" s="187">
        <f>F54/5</f>
        <v>12.85</v>
      </c>
    </row>
    <row r="55" spans="1:16" hidden="1" x14ac:dyDescent="0.3">
      <c r="D55" s="186" t="s">
        <v>589</v>
      </c>
      <c r="F55" s="187">
        <f>F50-F54</f>
        <v>1220.75</v>
      </c>
      <c r="G55" s="187">
        <f>G50-G54</f>
        <v>642.20000000000005</v>
      </c>
      <c r="J55" s="187">
        <f>F55/5</f>
        <v>244.15</v>
      </c>
      <c r="K55" s="187">
        <f>G55/5</f>
        <v>128.44</v>
      </c>
    </row>
    <row r="56" spans="1:16" hidden="1" x14ac:dyDescent="0.3">
      <c r="F56" s="187">
        <f>F55/5</f>
        <v>244.15</v>
      </c>
      <c r="G56" s="187">
        <f>G55/5</f>
        <v>128.44</v>
      </c>
    </row>
    <row r="57" spans="1:16" hidden="1" x14ac:dyDescent="0.3"/>
    <row r="58" spans="1:16" ht="22.8" hidden="1" x14ac:dyDescent="0.3">
      <c r="A58" s="731" t="s">
        <v>617</v>
      </c>
      <c r="B58" s="732"/>
      <c r="C58" s="733" t="s">
        <v>542</v>
      </c>
      <c r="D58" s="733"/>
      <c r="E58" s="733"/>
      <c r="F58" s="733"/>
      <c r="G58" s="733"/>
      <c r="H58" s="733"/>
      <c r="I58" s="753" t="s">
        <v>616</v>
      </c>
      <c r="J58" s="754"/>
      <c r="K58" s="754"/>
      <c r="L58" s="754"/>
      <c r="M58" s="754"/>
      <c r="N58" s="755"/>
    </row>
    <row r="59" spans="1:16" ht="17.399999999999999" hidden="1" x14ac:dyDescent="0.3">
      <c r="A59" s="440"/>
      <c r="B59" s="441"/>
      <c r="C59" s="734" t="s">
        <v>163</v>
      </c>
      <c r="D59" s="734"/>
      <c r="E59" s="734" t="s">
        <v>164</v>
      </c>
      <c r="F59" s="734"/>
      <c r="G59" s="734" t="s">
        <v>538</v>
      </c>
      <c r="H59" s="734"/>
      <c r="I59" s="734" t="s">
        <v>163</v>
      </c>
      <c r="J59" s="734"/>
      <c r="K59" s="734" t="s">
        <v>164</v>
      </c>
      <c r="L59" s="734"/>
      <c r="M59" s="734" t="s">
        <v>538</v>
      </c>
      <c r="N59" s="734"/>
    </row>
    <row r="60" spans="1:16" hidden="1" x14ac:dyDescent="0.3">
      <c r="A60" s="440"/>
      <c r="B60" s="441"/>
      <c r="C60" s="442" t="s">
        <v>532</v>
      </c>
      <c r="D60" s="443" t="s">
        <v>5</v>
      </c>
      <c r="E60" s="442" t="s">
        <v>532</v>
      </c>
      <c r="F60" s="443" t="s">
        <v>5</v>
      </c>
      <c r="G60" s="442" t="s">
        <v>532</v>
      </c>
      <c r="H60" s="443" t="s">
        <v>5</v>
      </c>
      <c r="I60" s="442" t="s">
        <v>532</v>
      </c>
      <c r="J60" s="443" t="s">
        <v>5</v>
      </c>
      <c r="K60" s="442" t="s">
        <v>532</v>
      </c>
      <c r="L60" s="443" t="s">
        <v>5</v>
      </c>
      <c r="M60" s="442" t="s">
        <v>532</v>
      </c>
      <c r="N60" s="443" t="s">
        <v>5</v>
      </c>
    </row>
    <row r="61" spans="1:16" hidden="1" x14ac:dyDescent="0.3">
      <c r="A61" s="415" t="s">
        <v>561</v>
      </c>
      <c r="B61" s="444" t="s">
        <v>562</v>
      </c>
      <c r="C61" s="454">
        <v>359</v>
      </c>
      <c r="D61" s="455">
        <v>56880</v>
      </c>
      <c r="E61" s="456">
        <v>863</v>
      </c>
      <c r="F61" s="457">
        <v>146430</v>
      </c>
      <c r="G61" s="456">
        <v>1222</v>
      </c>
      <c r="H61" s="455">
        <v>203310</v>
      </c>
      <c r="I61" s="445">
        <f>C61/5</f>
        <v>71.8</v>
      </c>
      <c r="J61" s="445">
        <f t="shared" ref="J61:N70" si="53">D61/5</f>
        <v>11376</v>
      </c>
      <c r="K61" s="445">
        <f t="shared" si="53"/>
        <v>172.6</v>
      </c>
      <c r="L61" s="445">
        <f t="shared" si="53"/>
        <v>29286</v>
      </c>
      <c r="M61" s="445">
        <f t="shared" si="53"/>
        <v>244.4</v>
      </c>
      <c r="N61" s="445">
        <f t="shared" si="53"/>
        <v>40662</v>
      </c>
      <c r="O61" s="187">
        <v>1222</v>
      </c>
      <c r="P61" s="186">
        <f t="shared" ref="P61:P63" si="54">G61/2</f>
        <v>611</v>
      </c>
    </row>
    <row r="62" spans="1:16" hidden="1" x14ac:dyDescent="0.3">
      <c r="A62" s="420">
        <v>1</v>
      </c>
      <c r="B62" s="444" t="s">
        <v>566</v>
      </c>
      <c r="C62" s="454">
        <v>333</v>
      </c>
      <c r="D62" s="455">
        <v>51900</v>
      </c>
      <c r="E62" s="456">
        <v>837</v>
      </c>
      <c r="F62" s="457">
        <v>141750</v>
      </c>
      <c r="G62" s="456">
        <v>1170</v>
      </c>
      <c r="H62" s="455">
        <v>193650</v>
      </c>
      <c r="I62" s="445">
        <f t="shared" ref="I62:I70" si="55">C62/5</f>
        <v>66.599999999999994</v>
      </c>
      <c r="J62" s="445">
        <f t="shared" si="53"/>
        <v>10380</v>
      </c>
      <c r="K62" s="445">
        <f t="shared" si="53"/>
        <v>167.4</v>
      </c>
      <c r="L62" s="445">
        <f t="shared" si="53"/>
        <v>28350</v>
      </c>
      <c r="M62" s="445">
        <f t="shared" si="53"/>
        <v>234</v>
      </c>
      <c r="N62" s="445">
        <f t="shared" si="53"/>
        <v>38730</v>
      </c>
      <c r="O62" s="187">
        <v>1170</v>
      </c>
      <c r="P62" s="186">
        <f t="shared" si="54"/>
        <v>585</v>
      </c>
    </row>
    <row r="63" spans="1:16" ht="33.6" hidden="1" x14ac:dyDescent="0.3">
      <c r="A63" s="420">
        <v>2</v>
      </c>
      <c r="B63" s="444" t="s">
        <v>572</v>
      </c>
      <c r="C63" s="454">
        <v>26</v>
      </c>
      <c r="D63" s="455">
        <v>4980</v>
      </c>
      <c r="E63" s="456">
        <v>26</v>
      </c>
      <c r="F63" s="457">
        <v>4680</v>
      </c>
      <c r="G63" s="456">
        <v>52</v>
      </c>
      <c r="H63" s="455">
        <v>9660</v>
      </c>
      <c r="I63" s="445">
        <f t="shared" si="55"/>
        <v>5.2</v>
      </c>
      <c r="J63" s="445">
        <f t="shared" si="53"/>
        <v>996</v>
      </c>
      <c r="K63" s="445">
        <f t="shared" si="53"/>
        <v>5.2</v>
      </c>
      <c r="L63" s="445">
        <f t="shared" si="53"/>
        <v>936</v>
      </c>
      <c r="M63" s="445">
        <f t="shared" si="53"/>
        <v>10.4</v>
      </c>
      <c r="N63" s="445">
        <f t="shared" si="53"/>
        <v>1932</v>
      </c>
      <c r="O63" s="187">
        <v>52</v>
      </c>
      <c r="P63" s="186">
        <f t="shared" si="54"/>
        <v>26</v>
      </c>
    </row>
    <row r="64" spans="1:16" hidden="1" x14ac:dyDescent="0.3">
      <c r="A64" s="440"/>
      <c r="B64" s="444" t="s">
        <v>564</v>
      </c>
      <c r="C64" s="454">
        <v>343</v>
      </c>
      <c r="D64" s="455">
        <v>54280</v>
      </c>
      <c r="E64" s="456">
        <v>326</v>
      </c>
      <c r="F64" s="457">
        <v>49730</v>
      </c>
      <c r="G64" s="456">
        <v>669</v>
      </c>
      <c r="H64" s="455">
        <v>104010</v>
      </c>
      <c r="I64" s="445">
        <f t="shared" si="55"/>
        <v>68.599999999999994</v>
      </c>
      <c r="J64" s="445">
        <f t="shared" si="53"/>
        <v>10856</v>
      </c>
      <c r="K64" s="445">
        <f t="shared" si="53"/>
        <v>65.2</v>
      </c>
      <c r="L64" s="445">
        <f t="shared" si="53"/>
        <v>9946</v>
      </c>
      <c r="M64" s="445">
        <f t="shared" si="53"/>
        <v>133.80000000000001</v>
      </c>
      <c r="N64" s="445">
        <f t="shared" si="53"/>
        <v>20802</v>
      </c>
      <c r="O64" s="187">
        <v>669</v>
      </c>
      <c r="P64" s="186">
        <f>G64/2</f>
        <v>334.5</v>
      </c>
    </row>
    <row r="65" spans="1:16" hidden="1" x14ac:dyDescent="0.3">
      <c r="A65" s="440"/>
      <c r="B65" s="444" t="s">
        <v>566</v>
      </c>
      <c r="C65" s="454">
        <v>317</v>
      </c>
      <c r="D65" s="455">
        <v>49300</v>
      </c>
      <c r="E65" s="456">
        <v>315</v>
      </c>
      <c r="F65" s="456">
        <v>47750</v>
      </c>
      <c r="G65" s="456">
        <v>632</v>
      </c>
      <c r="H65" s="455">
        <v>97050</v>
      </c>
      <c r="I65" s="445">
        <f t="shared" si="55"/>
        <v>63.4</v>
      </c>
      <c r="J65" s="445">
        <f t="shared" si="53"/>
        <v>9860</v>
      </c>
      <c r="K65" s="445">
        <f t="shared" si="53"/>
        <v>63</v>
      </c>
      <c r="L65" s="445">
        <f t="shared" si="53"/>
        <v>9550</v>
      </c>
      <c r="M65" s="445">
        <f t="shared" si="53"/>
        <v>126.4</v>
      </c>
      <c r="N65" s="445">
        <f t="shared" si="53"/>
        <v>19410</v>
      </c>
      <c r="O65" s="187">
        <v>632</v>
      </c>
      <c r="P65" s="186">
        <f t="shared" ref="P65:P70" si="56">G65/2</f>
        <v>316</v>
      </c>
    </row>
    <row r="66" spans="1:16" ht="33.6" hidden="1" x14ac:dyDescent="0.3">
      <c r="A66" s="440"/>
      <c r="B66" s="444" t="s">
        <v>572</v>
      </c>
      <c r="C66" s="454">
        <v>26</v>
      </c>
      <c r="D66" s="455">
        <v>4980</v>
      </c>
      <c r="E66" s="456">
        <v>11</v>
      </c>
      <c r="F66" s="456">
        <v>1980</v>
      </c>
      <c r="G66" s="456">
        <v>37</v>
      </c>
      <c r="H66" s="455">
        <v>6960</v>
      </c>
      <c r="I66" s="445">
        <f t="shared" si="55"/>
        <v>5.2</v>
      </c>
      <c r="J66" s="445">
        <f t="shared" si="53"/>
        <v>996</v>
      </c>
      <c r="K66" s="445">
        <f t="shared" si="53"/>
        <v>2.2000000000000002</v>
      </c>
      <c r="L66" s="445">
        <f t="shared" si="53"/>
        <v>396</v>
      </c>
      <c r="M66" s="445">
        <f t="shared" si="53"/>
        <v>7.4</v>
      </c>
      <c r="N66" s="445">
        <f t="shared" si="53"/>
        <v>1392</v>
      </c>
      <c r="O66" s="187">
        <v>37</v>
      </c>
      <c r="P66" s="186">
        <f t="shared" si="56"/>
        <v>18.5</v>
      </c>
    </row>
    <row r="67" spans="1:16" hidden="1" x14ac:dyDescent="0.3">
      <c r="A67" s="440"/>
      <c r="B67" s="444" t="s">
        <v>575</v>
      </c>
      <c r="C67" s="454">
        <v>16</v>
      </c>
      <c r="D67" s="455">
        <v>2600</v>
      </c>
      <c r="E67" s="456">
        <v>333</v>
      </c>
      <c r="F67" s="456">
        <v>50800</v>
      </c>
      <c r="G67" s="456">
        <v>349</v>
      </c>
      <c r="H67" s="455">
        <v>53400</v>
      </c>
      <c r="I67" s="445">
        <f t="shared" si="55"/>
        <v>3.2</v>
      </c>
      <c r="J67" s="445">
        <f t="shared" si="53"/>
        <v>520</v>
      </c>
      <c r="K67" s="445">
        <f t="shared" si="53"/>
        <v>66.599999999999994</v>
      </c>
      <c r="L67" s="445">
        <f t="shared" si="53"/>
        <v>10160</v>
      </c>
      <c r="M67" s="445">
        <f t="shared" si="53"/>
        <v>69.8</v>
      </c>
      <c r="N67" s="445">
        <f t="shared" si="53"/>
        <v>10680</v>
      </c>
      <c r="O67" s="187">
        <v>349</v>
      </c>
      <c r="P67" s="186">
        <f t="shared" si="56"/>
        <v>174.5</v>
      </c>
    </row>
    <row r="68" spans="1:16" hidden="1" x14ac:dyDescent="0.3">
      <c r="A68" s="440"/>
      <c r="B68" s="444" t="s">
        <v>566</v>
      </c>
      <c r="C68" s="454">
        <v>16</v>
      </c>
      <c r="D68" s="455">
        <v>2600</v>
      </c>
      <c r="E68" s="456">
        <v>318</v>
      </c>
      <c r="F68" s="456">
        <v>48100</v>
      </c>
      <c r="G68" s="456">
        <v>334</v>
      </c>
      <c r="H68" s="455">
        <v>50700</v>
      </c>
      <c r="I68" s="445">
        <f t="shared" si="55"/>
        <v>3.2</v>
      </c>
      <c r="J68" s="445">
        <f t="shared" si="53"/>
        <v>520</v>
      </c>
      <c r="K68" s="445">
        <f t="shared" si="53"/>
        <v>63.6</v>
      </c>
      <c r="L68" s="445">
        <f t="shared" si="53"/>
        <v>9620</v>
      </c>
      <c r="M68" s="445">
        <f t="shared" si="53"/>
        <v>66.8</v>
      </c>
      <c r="N68" s="445">
        <f t="shared" si="53"/>
        <v>10140</v>
      </c>
      <c r="O68" s="187">
        <v>334</v>
      </c>
      <c r="P68" s="186">
        <f t="shared" si="56"/>
        <v>167</v>
      </c>
    </row>
    <row r="69" spans="1:16" ht="33.6" hidden="1" x14ac:dyDescent="0.3">
      <c r="A69" s="440"/>
      <c r="B69" s="444" t="s">
        <v>572</v>
      </c>
      <c r="C69" s="454">
        <v>0</v>
      </c>
      <c r="D69" s="455">
        <v>0</v>
      </c>
      <c r="E69" s="456">
        <v>15</v>
      </c>
      <c r="F69" s="456">
        <v>2700</v>
      </c>
      <c r="G69" s="456">
        <v>15</v>
      </c>
      <c r="H69" s="455">
        <v>2700</v>
      </c>
      <c r="I69" s="445">
        <f t="shared" si="55"/>
        <v>0</v>
      </c>
      <c r="J69" s="445">
        <f t="shared" si="53"/>
        <v>0</v>
      </c>
      <c r="K69" s="445">
        <f t="shared" si="53"/>
        <v>3</v>
      </c>
      <c r="L69" s="445">
        <f t="shared" si="53"/>
        <v>540</v>
      </c>
      <c r="M69" s="445">
        <f t="shared" si="53"/>
        <v>3</v>
      </c>
      <c r="N69" s="445">
        <f t="shared" si="53"/>
        <v>540</v>
      </c>
      <c r="O69" s="187">
        <v>15</v>
      </c>
      <c r="P69" s="186">
        <f t="shared" si="56"/>
        <v>7.5</v>
      </c>
    </row>
    <row r="70" spans="1:16" hidden="1" x14ac:dyDescent="0.3">
      <c r="A70" s="440"/>
      <c r="B70" s="446" t="s">
        <v>577</v>
      </c>
      <c r="C70" s="454">
        <v>0</v>
      </c>
      <c r="D70" s="455">
        <v>0</v>
      </c>
      <c r="E70" s="456">
        <v>204</v>
      </c>
      <c r="F70" s="456">
        <v>45900</v>
      </c>
      <c r="G70" s="456">
        <v>204</v>
      </c>
      <c r="H70" s="455">
        <v>45900</v>
      </c>
      <c r="I70" s="445">
        <f t="shared" si="55"/>
        <v>0</v>
      </c>
      <c r="J70" s="445">
        <f t="shared" si="53"/>
        <v>0</v>
      </c>
      <c r="K70" s="445">
        <f t="shared" si="53"/>
        <v>40.799999999999997</v>
      </c>
      <c r="L70" s="445">
        <f t="shared" si="53"/>
        <v>9180</v>
      </c>
      <c r="M70" s="445">
        <f t="shared" si="53"/>
        <v>40.799999999999997</v>
      </c>
      <c r="N70" s="445">
        <f t="shared" si="53"/>
        <v>9180</v>
      </c>
      <c r="O70" s="187">
        <v>204</v>
      </c>
      <c r="P70" s="186">
        <f t="shared" si="56"/>
        <v>102</v>
      </c>
    </row>
  </sheetData>
  <mergeCells count="40">
    <mergeCell ref="K59:L59"/>
    <mergeCell ref="M59:N59"/>
    <mergeCell ref="I58:N58"/>
    <mergeCell ref="C58:H58"/>
    <mergeCell ref="C59:D59"/>
    <mergeCell ref="E59:F59"/>
    <mergeCell ref="G59:H59"/>
    <mergeCell ref="I59:J59"/>
    <mergeCell ref="A1:O1"/>
    <mergeCell ref="A2:O2"/>
    <mergeCell ref="L3:O3"/>
    <mergeCell ref="AE5:AK5"/>
    <mergeCell ref="AE6:AE7"/>
    <mergeCell ref="AF6:AG6"/>
    <mergeCell ref="AH6:AI6"/>
    <mergeCell ref="AJ6:AK6"/>
    <mergeCell ref="R5:S5"/>
    <mergeCell ref="T5:U5"/>
    <mergeCell ref="V5:W5"/>
    <mergeCell ref="X5:Y5"/>
    <mergeCell ref="Z5:AA5"/>
    <mergeCell ref="H5:I5"/>
    <mergeCell ref="J5:K5"/>
    <mergeCell ref="L5:M5"/>
    <mergeCell ref="A58:B58"/>
    <mergeCell ref="T4:W4"/>
    <mergeCell ref="AB5:AC5"/>
    <mergeCell ref="X4:AC4"/>
    <mergeCell ref="AE4:AG4"/>
    <mergeCell ref="A5:A6"/>
    <mergeCell ref="D5:E5"/>
    <mergeCell ref="F5:G5"/>
    <mergeCell ref="N5:O5"/>
    <mergeCell ref="P5:Q5"/>
    <mergeCell ref="B4:B6"/>
    <mergeCell ref="C4:C6"/>
    <mergeCell ref="D4:G4"/>
    <mergeCell ref="H4:K4"/>
    <mergeCell ref="L4:O4"/>
    <mergeCell ref="P4:S4"/>
  </mergeCells>
  <pageMargins left="0.196850393700787" right="0.23622047244094499" top="0.23622047244094499" bottom="0.23622047244094499" header="0.15748031496063" footer="0.1574803149606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PL7. TH KP nhan luc</vt:lpstr>
      <vt:lpstr>7,9,25 Đào tạo TH</vt:lpstr>
      <vt:lpstr>5,10,25 PL8A KPDao tao </vt:lpstr>
      <vt:lpstr>PL 8B. tăng cường tuyến dưới</vt:lpstr>
      <vt:lpstr>PL 9 chuyển giao KT</vt:lpstr>
      <vt:lpstr>PL 10. đãi ngộ</vt:lpstr>
      <vt:lpstr>PL 11. thu hút 50%BS, ko Đ.d</vt:lpstr>
      <vt:lpstr>'5,10,25 PL8A KPDao tao '!Print_Area</vt:lpstr>
      <vt:lpstr>'PL 10. đãi ngộ'!Print_Area</vt:lpstr>
      <vt:lpstr>'PL 11. thu hút 50%BS, ko Đ.d'!Print_Area</vt:lpstr>
      <vt:lpstr>'PL 8B. tăng cường tuyến dưới'!Print_Area</vt:lpstr>
      <vt:lpstr>'PL 9 chuyển giao KT'!Print_Area</vt:lpstr>
      <vt:lpstr>'PL 10. đãi ngộ'!Print_Titles</vt:lpstr>
      <vt:lpstr>'PL 11. thu hút 50%BS, ko Đ.d'!Print_Titles</vt:lpstr>
      <vt:lpstr>'PL 8B. tăng cường tuyến dưới'!Print_Titles</vt:lpstr>
      <vt:lpstr>'PL 9 chuyển giao KT'!Print_Titles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hp.syt67</dc:creator>
  <cp:lastModifiedBy>Admin pc</cp:lastModifiedBy>
  <cp:lastPrinted>2025-09-09T09:53:04Z</cp:lastPrinted>
  <dcterms:created xsi:type="dcterms:W3CDTF">2025-08-12T03:18:09Z</dcterms:created>
  <dcterms:modified xsi:type="dcterms:W3CDTF">2025-10-14T16:59:34Z</dcterms:modified>
</cp:coreProperties>
</file>