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NĂM CÔNG TÁC\Năm 2026\NQ CHẾ ĐỘ DINH DƯỠNG HLV, VĐV\THAM MƯU QĐ UBND TP\NQ HNĐ TP 2026\4. Gửi Sở TP thẩm định\NGÂN SÁCH THÀNH PHỐ\"/>
    </mc:Choice>
  </mc:AlternateContent>
  <xr:revisionPtr revIDLastSave="0" documentId="13_ncr:1_{7D399321-1667-45E6-8D98-1BDB9874B7D2}" xr6:coauthVersionLast="47" xr6:coauthVersionMax="47" xr10:uidLastSave="{00000000-0000-0000-0000-000000000000}"/>
  <bookViews>
    <workbookView xWindow="-120" yWindow="-120" windowWidth="20730" windowHeight="11160" firstSheet="1" activeTab="1" xr2:uid="{7099242C-B212-4BD7-8931-2F33CEDE2032}"/>
  </bookViews>
  <sheets>
    <sheet name="Doc so" sheetId="14" state="hidden" r:id="rId1"/>
    <sheet name="PL 4" sheetId="13" r:id="rId2"/>
    <sheet name="PL 4.1" sheetId="15" r:id="rId3"/>
    <sheet name="PL 4.1.1" sheetId="19" r:id="rId4"/>
    <sheet name="PL 4.2" sheetId="16" r:id="rId5"/>
    <sheet name="PL 4.2.1" sheetId="20" r:id="rId6"/>
    <sheet name="PL 4.4" sheetId="18" r:id="rId7"/>
    <sheet name="PL 4.4.1" sheetId="21" r:id="rId8"/>
    <sheet name="PL4.3" sheetId="17" r:id="rId9"/>
    <sheet name="PL 4.3.1" sheetId="22" r:id="rId10"/>
    <sheet name="PL 4.5" sheetId="10" r:id="rId11"/>
    <sheet name="PL 4.5.1" sheetId="7" r:id="rId12"/>
    <sheet name="Chi tiết 4.5.1 (1)" sheetId="5" r:id="rId13"/>
    <sheet name="Chi tiết 4.5.1 (2)" sheetId="6" r:id="rId14"/>
    <sheet name="PL 4.5.2" sheetId="8" r:id="rId15"/>
    <sheet name="PL 4.6"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I15" i="6" l="1"/>
  <c r="I9" i="6"/>
  <c r="I15" i="5"/>
  <c r="I9" i="5"/>
  <c r="L8" i="7"/>
  <c r="L249" i="8"/>
  <c r="L248" i="8"/>
  <c r="L250" i="8" s="1"/>
  <c r="L247" i="8"/>
  <c r="L81" i="8"/>
  <c r="L80" i="8"/>
  <c r="L79" i="8"/>
  <c r="D167" i="8"/>
  <c r="F167" i="8"/>
  <c r="H167" i="8"/>
  <c r="C167" i="8"/>
  <c r="L166" i="8"/>
  <c r="L165" i="8"/>
  <c r="L164" i="8"/>
  <c r="F16" i="18"/>
  <c r="F41" i="21"/>
  <c r="D41" i="21"/>
  <c r="E41" i="21"/>
  <c r="C41" i="21"/>
  <c r="H17" i="18"/>
  <c r="I17" i="18"/>
  <c r="J17" i="18"/>
  <c r="P17" i="18" s="1"/>
  <c r="N17" i="18"/>
  <c r="O17" i="18"/>
  <c r="H14" i="18"/>
  <c r="N14" i="18" s="1"/>
  <c r="I14" i="18"/>
  <c r="O14" i="18" s="1"/>
  <c r="J14" i="18"/>
  <c r="P14" i="18" s="1"/>
  <c r="Q14" i="18" l="1"/>
  <c r="Q17" i="18"/>
  <c r="F37" i="21"/>
  <c r="F38" i="21"/>
  <c r="F39" i="21"/>
  <c r="F40" i="21"/>
  <c r="D34" i="21"/>
  <c r="E34" i="21"/>
  <c r="F34" i="21"/>
  <c r="C34" i="21"/>
  <c r="J10" i="18"/>
  <c r="I10" i="18"/>
  <c r="H10" i="18"/>
  <c r="P10" i="18"/>
  <c r="O10" i="18"/>
  <c r="N10" i="18"/>
  <c r="N16" i="18"/>
  <c r="J16" i="18"/>
  <c r="I16" i="18"/>
  <c r="O16" i="18" s="1"/>
  <c r="F53" i="21"/>
  <c r="F52" i="21"/>
  <c r="F51" i="21"/>
  <c r="F50" i="21"/>
  <c r="H13" i="15"/>
  <c r="F7" i="11"/>
  <c r="F6" i="11"/>
  <c r="Q10" i="18" l="1"/>
  <c r="P16" i="18"/>
  <c r="P15" i="18" s="1"/>
  <c r="O15" i="18"/>
  <c r="N15" i="18"/>
  <c r="C43" i="13"/>
  <c r="C46" i="13"/>
  <c r="C45" i="13"/>
  <c r="C44" i="13" s="1"/>
  <c r="C28" i="13"/>
  <c r="C27" i="13"/>
  <c r="C25" i="13"/>
  <c r="F13" i="7"/>
  <c r="G12" i="15"/>
  <c r="F12" i="15"/>
  <c r="G11" i="15"/>
  <c r="F11" i="15"/>
  <c r="G9" i="15"/>
  <c r="F9" i="15"/>
  <c r="G8" i="15"/>
  <c r="F8" i="15"/>
  <c r="Q16" i="18" l="1"/>
  <c r="Q15" i="18" s="1"/>
  <c r="F10" i="11"/>
  <c r="F9" i="11"/>
  <c r="E12" i="22"/>
  <c r="D12" i="22"/>
  <c r="C12" i="22"/>
  <c r="F10" i="22"/>
  <c r="F11" i="22"/>
  <c r="F9" i="22"/>
  <c r="F12" i="22" s="1"/>
  <c r="F8" i="22"/>
  <c r="F7" i="22"/>
  <c r="F6" i="22"/>
  <c r="F49" i="21"/>
  <c r="F48" i="21"/>
  <c r="F47" i="21"/>
  <c r="F46" i="21"/>
  <c r="F45" i="21"/>
  <c r="F44" i="21"/>
  <c r="F43" i="21"/>
  <c r="E54" i="21"/>
  <c r="D54" i="21"/>
  <c r="C54" i="21"/>
  <c r="F36" i="21"/>
  <c r="F7" i="20"/>
  <c r="F11" i="20" s="1"/>
  <c r="F8" i="20"/>
  <c r="F9" i="20"/>
  <c r="F10" i="20"/>
  <c r="F6" i="20"/>
  <c r="E11" i="20"/>
  <c r="D11" i="20"/>
  <c r="C11" i="20"/>
  <c r="E11" i="19"/>
  <c r="D11" i="19"/>
  <c r="C11" i="19"/>
  <c r="N13" i="18"/>
  <c r="J13" i="18"/>
  <c r="P13" i="18" s="1"/>
  <c r="P12" i="18" s="1"/>
  <c r="I13" i="18"/>
  <c r="O13" i="18" s="1"/>
  <c r="O12" i="18" s="1"/>
  <c r="P9" i="18"/>
  <c r="P8" i="18" s="1"/>
  <c r="N9" i="18"/>
  <c r="I9" i="18"/>
  <c r="O9" i="18" s="1"/>
  <c r="O8" i="18" s="1"/>
  <c r="J15" i="17"/>
  <c r="P16" i="17" s="1"/>
  <c r="I15" i="17"/>
  <c r="H15" i="17"/>
  <c r="O12" i="17"/>
  <c r="J12" i="17"/>
  <c r="P12" i="17" s="1"/>
  <c r="I12" i="17"/>
  <c r="O13" i="17" s="1"/>
  <c r="H12" i="17"/>
  <c r="N12" i="17" s="1"/>
  <c r="P9" i="17"/>
  <c r="O9" i="17"/>
  <c r="N9" i="17"/>
  <c r="P8" i="17"/>
  <c r="O8" i="17"/>
  <c r="N8" i="17"/>
  <c r="P7" i="17"/>
  <c r="O7" i="17"/>
  <c r="N10" i="16"/>
  <c r="J10" i="16"/>
  <c r="P10" i="16" s="1"/>
  <c r="I10" i="16"/>
  <c r="O10" i="16" s="1"/>
  <c r="N9" i="16"/>
  <c r="J9" i="16"/>
  <c r="P9" i="16" s="1"/>
  <c r="I9" i="16"/>
  <c r="O9" i="16" s="1"/>
  <c r="O11" i="16" s="1"/>
  <c r="H12" i="15"/>
  <c r="H11" i="15"/>
  <c r="H9" i="15"/>
  <c r="H8" i="15"/>
  <c r="N8" i="18" l="1"/>
  <c r="Q9" i="18"/>
  <c r="Q8" i="18" s="1"/>
  <c r="Q13" i="18"/>
  <c r="Q12" i="18" s="1"/>
  <c r="N12" i="18"/>
  <c r="F54" i="21"/>
  <c r="P11" i="18"/>
  <c r="P13" i="17"/>
  <c r="C49" i="13"/>
  <c r="P11" i="16"/>
  <c r="N11" i="16"/>
  <c r="Q11" i="16" s="1"/>
  <c r="N7" i="17"/>
  <c r="P11" i="17"/>
  <c r="O11" i="18"/>
  <c r="O18" i="18" s="1"/>
  <c r="H10" i="15"/>
  <c r="H7" i="15"/>
  <c r="Q7" i="17"/>
  <c r="O11" i="17"/>
  <c r="O17" i="17" s="1"/>
  <c r="N13" i="17"/>
  <c r="N11" i="17" s="1"/>
  <c r="P15" i="17"/>
  <c r="P14" i="17" s="1"/>
  <c r="Q14" i="17" s="1"/>
  <c r="H15" i="5"/>
  <c r="H16" i="5"/>
  <c r="H17" i="5"/>
  <c r="H18" i="5"/>
  <c r="H14" i="5"/>
  <c r="I18" i="6"/>
  <c r="I17" i="6"/>
  <c r="I16" i="6"/>
  <c r="I14" i="6"/>
  <c r="I13" i="6"/>
  <c r="H14" i="6"/>
  <c r="H15" i="6"/>
  <c r="H16" i="6"/>
  <c r="H17" i="6"/>
  <c r="H18" i="6"/>
  <c r="H13" i="6"/>
  <c r="I18" i="5"/>
  <c r="I17" i="5"/>
  <c r="I13" i="5"/>
  <c r="I14" i="5"/>
  <c r="I16" i="5"/>
  <c r="F8" i="11"/>
  <c r="F11" i="11"/>
  <c r="K245" i="8"/>
  <c r="K244" i="8"/>
  <c r="I243" i="8"/>
  <c r="G243" i="8"/>
  <c r="E243" i="8"/>
  <c r="I242" i="8"/>
  <c r="G242" i="8"/>
  <c r="E242" i="8"/>
  <c r="I241" i="8"/>
  <c r="G241" i="8"/>
  <c r="E241" i="8"/>
  <c r="I239" i="8"/>
  <c r="G239" i="8"/>
  <c r="E239" i="8"/>
  <c r="I238" i="8"/>
  <c r="G238" i="8"/>
  <c r="E238" i="8"/>
  <c r="I237" i="8"/>
  <c r="G237" i="8"/>
  <c r="E237" i="8"/>
  <c r="I235" i="8"/>
  <c r="G235" i="8"/>
  <c r="E235" i="8"/>
  <c r="I234" i="8"/>
  <c r="G234" i="8"/>
  <c r="E234" i="8"/>
  <c r="I233" i="8"/>
  <c r="G233" i="8"/>
  <c r="E233" i="8"/>
  <c r="I231" i="8"/>
  <c r="G231" i="8"/>
  <c r="E231" i="8"/>
  <c r="I230" i="8"/>
  <c r="G230" i="8"/>
  <c r="E230" i="8"/>
  <c r="I229" i="8"/>
  <c r="G229" i="8"/>
  <c r="E229" i="8"/>
  <c r="K226" i="8"/>
  <c r="K243" i="8" s="1"/>
  <c r="K225" i="8"/>
  <c r="K234" i="8" s="1"/>
  <c r="K224" i="8"/>
  <c r="K233" i="8" s="1"/>
  <c r="I222" i="8"/>
  <c r="G222" i="8"/>
  <c r="E222" i="8"/>
  <c r="I221" i="8"/>
  <c r="G221" i="8"/>
  <c r="E221" i="8"/>
  <c r="I220" i="8"/>
  <c r="G220" i="8"/>
  <c r="E220" i="8"/>
  <c r="I218" i="8"/>
  <c r="G218" i="8"/>
  <c r="E218" i="8"/>
  <c r="I217" i="8"/>
  <c r="G217" i="8"/>
  <c r="E217" i="8"/>
  <c r="I216" i="8"/>
  <c r="G216" i="8"/>
  <c r="E216" i="8"/>
  <c r="I214" i="8"/>
  <c r="G214" i="8"/>
  <c r="E214" i="8"/>
  <c r="I213" i="8"/>
  <c r="G213" i="8"/>
  <c r="E213" i="8"/>
  <c r="I212" i="8"/>
  <c r="G212" i="8"/>
  <c r="E212" i="8"/>
  <c r="I210" i="8"/>
  <c r="G210" i="8"/>
  <c r="E210" i="8"/>
  <c r="I209" i="8"/>
  <c r="G209" i="8"/>
  <c r="E209" i="8"/>
  <c r="I208" i="8"/>
  <c r="G208" i="8"/>
  <c r="E208" i="8"/>
  <c r="K205" i="8"/>
  <c r="K222" i="8" s="1"/>
  <c r="K204" i="8"/>
  <c r="K221" i="8" s="1"/>
  <c r="K203" i="8"/>
  <c r="K220" i="8" s="1"/>
  <c r="I201" i="8"/>
  <c r="G201" i="8"/>
  <c r="E201" i="8"/>
  <c r="I200" i="8"/>
  <c r="G200" i="8"/>
  <c r="E200" i="8"/>
  <c r="I199" i="8"/>
  <c r="G199" i="8"/>
  <c r="E199" i="8"/>
  <c r="I197" i="8"/>
  <c r="G197" i="8"/>
  <c r="E197" i="8"/>
  <c r="I196" i="8"/>
  <c r="G196" i="8"/>
  <c r="E196" i="8"/>
  <c r="I195" i="8"/>
  <c r="G195" i="8"/>
  <c r="E195" i="8"/>
  <c r="I193" i="8"/>
  <c r="G193" i="8"/>
  <c r="E193" i="8"/>
  <c r="I192" i="8"/>
  <c r="G192" i="8"/>
  <c r="E192" i="8"/>
  <c r="I191" i="8"/>
  <c r="G191" i="8"/>
  <c r="E191" i="8"/>
  <c r="I189" i="8"/>
  <c r="G189" i="8"/>
  <c r="E189" i="8"/>
  <c r="I188" i="8"/>
  <c r="G188" i="8"/>
  <c r="E188" i="8"/>
  <c r="I187" i="8"/>
  <c r="G187" i="8"/>
  <c r="E187" i="8"/>
  <c r="I185" i="8"/>
  <c r="G185" i="8"/>
  <c r="E185" i="8"/>
  <c r="I184" i="8"/>
  <c r="G184" i="8"/>
  <c r="E184" i="8"/>
  <c r="I183" i="8"/>
  <c r="G183" i="8"/>
  <c r="E183" i="8"/>
  <c r="K180" i="8"/>
  <c r="K201" i="8" s="1"/>
  <c r="K179" i="8"/>
  <c r="K200" i="8" s="1"/>
  <c r="K178" i="8"/>
  <c r="K199" i="8" s="1"/>
  <c r="K162" i="8"/>
  <c r="K161" i="8"/>
  <c r="I160" i="8"/>
  <c r="G160" i="8"/>
  <c r="E160" i="8"/>
  <c r="I159" i="8"/>
  <c r="G159" i="8"/>
  <c r="E159" i="8"/>
  <c r="I158" i="8"/>
  <c r="G158" i="8"/>
  <c r="E158" i="8"/>
  <c r="I156" i="8"/>
  <c r="G156" i="8"/>
  <c r="E156" i="8"/>
  <c r="I155" i="8"/>
  <c r="G155" i="8"/>
  <c r="E155" i="8"/>
  <c r="I154" i="8"/>
  <c r="G154" i="8"/>
  <c r="E154" i="8"/>
  <c r="I152" i="8"/>
  <c r="G152" i="8"/>
  <c r="E152" i="8"/>
  <c r="I151" i="8"/>
  <c r="G151" i="8"/>
  <c r="E151" i="8"/>
  <c r="I150" i="8"/>
  <c r="G150" i="8"/>
  <c r="E150" i="8"/>
  <c r="I148" i="8"/>
  <c r="G148" i="8"/>
  <c r="E148" i="8"/>
  <c r="I147" i="8"/>
  <c r="G147" i="8"/>
  <c r="E147" i="8"/>
  <c r="I146" i="8"/>
  <c r="G146" i="8"/>
  <c r="E146" i="8"/>
  <c r="K143" i="8"/>
  <c r="K160" i="8" s="1"/>
  <c r="K142" i="8"/>
  <c r="K159" i="8" s="1"/>
  <c r="K141" i="8"/>
  <c r="K158" i="8" s="1"/>
  <c r="I139" i="8"/>
  <c r="G139" i="8"/>
  <c r="E139" i="8"/>
  <c r="I138" i="8"/>
  <c r="G138" i="8"/>
  <c r="E138" i="8"/>
  <c r="I137" i="8"/>
  <c r="G137" i="8"/>
  <c r="E137" i="8"/>
  <c r="I135" i="8"/>
  <c r="G135" i="8"/>
  <c r="E135" i="8"/>
  <c r="I134" i="8"/>
  <c r="G134" i="8"/>
  <c r="E134" i="8"/>
  <c r="I133" i="8"/>
  <c r="G133" i="8"/>
  <c r="E133" i="8"/>
  <c r="I131" i="8"/>
  <c r="G131" i="8"/>
  <c r="E131" i="8"/>
  <c r="I130" i="8"/>
  <c r="G130" i="8"/>
  <c r="E130" i="8"/>
  <c r="I129" i="8"/>
  <c r="G129" i="8"/>
  <c r="E129" i="8"/>
  <c r="I127" i="8"/>
  <c r="G127" i="8"/>
  <c r="E127" i="8"/>
  <c r="I126" i="8"/>
  <c r="G126" i="8"/>
  <c r="E126" i="8"/>
  <c r="I125" i="8"/>
  <c r="G125" i="8"/>
  <c r="E125" i="8"/>
  <c r="K122" i="8"/>
  <c r="K139" i="8" s="1"/>
  <c r="K121" i="8"/>
  <c r="K138" i="8" s="1"/>
  <c r="K120" i="8"/>
  <c r="K133" i="8" s="1"/>
  <c r="I118" i="8"/>
  <c r="G118" i="8"/>
  <c r="E118" i="8"/>
  <c r="I117" i="8"/>
  <c r="G117" i="8"/>
  <c r="E117" i="8"/>
  <c r="I116" i="8"/>
  <c r="G116" i="8"/>
  <c r="E116" i="8"/>
  <c r="I114" i="8"/>
  <c r="G114" i="8"/>
  <c r="E114" i="8"/>
  <c r="I113" i="8"/>
  <c r="G113" i="8"/>
  <c r="E113" i="8"/>
  <c r="I112" i="8"/>
  <c r="G112" i="8"/>
  <c r="E112" i="8"/>
  <c r="I110" i="8"/>
  <c r="G110" i="8"/>
  <c r="E110" i="8"/>
  <c r="I109" i="8"/>
  <c r="G109" i="8"/>
  <c r="E109" i="8"/>
  <c r="I108" i="8"/>
  <c r="G108" i="8"/>
  <c r="E108" i="8"/>
  <c r="I106" i="8"/>
  <c r="G106" i="8"/>
  <c r="E106" i="8"/>
  <c r="I105" i="8"/>
  <c r="G105" i="8"/>
  <c r="E105" i="8"/>
  <c r="I104" i="8"/>
  <c r="G104" i="8"/>
  <c r="E104" i="8"/>
  <c r="I102" i="8"/>
  <c r="G102" i="8"/>
  <c r="E102" i="8"/>
  <c r="I101" i="8"/>
  <c r="G101" i="8"/>
  <c r="E101" i="8"/>
  <c r="I100" i="8"/>
  <c r="G100" i="8"/>
  <c r="E100" i="8"/>
  <c r="K97" i="8"/>
  <c r="K118" i="8" s="1"/>
  <c r="K96" i="8"/>
  <c r="K117" i="8" s="1"/>
  <c r="K95" i="8"/>
  <c r="K116" i="8" s="1"/>
  <c r="Q11" i="18" l="1"/>
  <c r="Q18" i="18" s="1"/>
  <c r="P18" i="18"/>
  <c r="N11" i="18"/>
  <c r="N18" i="18" s="1"/>
  <c r="C9" i="13"/>
  <c r="C11" i="13"/>
  <c r="C10" i="13" s="1"/>
  <c r="K208" i="8"/>
  <c r="H6" i="15"/>
  <c r="F12" i="11"/>
  <c r="Q11" i="17"/>
  <c r="N17" i="17"/>
  <c r="P17" i="17"/>
  <c r="K230" i="8"/>
  <c r="K229" i="8"/>
  <c r="K155" i="8"/>
  <c r="K238" i="8"/>
  <c r="K154" i="8"/>
  <c r="K129" i="8"/>
  <c r="K137" i="8"/>
  <c r="K150" i="8"/>
  <c r="K151" i="8"/>
  <c r="K188" i="8"/>
  <c r="K196" i="8"/>
  <c r="K216" i="8"/>
  <c r="K241" i="8"/>
  <c r="K242" i="8"/>
  <c r="K146" i="8"/>
  <c r="K147" i="8"/>
  <c r="K237" i="8"/>
  <c r="K125" i="8"/>
  <c r="K184" i="8"/>
  <c r="K192" i="8"/>
  <c r="K212" i="8"/>
  <c r="K231" i="8"/>
  <c r="K235" i="8"/>
  <c r="K239" i="8"/>
  <c r="K209" i="8"/>
  <c r="K210" i="8"/>
  <c r="K213" i="8"/>
  <c r="K214" i="8"/>
  <c r="K217" i="8"/>
  <c r="K218" i="8"/>
  <c r="K183" i="8"/>
  <c r="K185" i="8"/>
  <c r="K187" i="8"/>
  <c r="K189" i="8"/>
  <c r="K191" i="8"/>
  <c r="K193" i="8"/>
  <c r="K195" i="8"/>
  <c r="K197" i="8"/>
  <c r="K148" i="8"/>
  <c r="K152" i="8"/>
  <c r="K156" i="8"/>
  <c r="K126" i="8"/>
  <c r="K127" i="8"/>
  <c r="K130" i="8"/>
  <c r="K131" i="8"/>
  <c r="K134" i="8"/>
  <c r="K135" i="8"/>
  <c r="K100" i="8"/>
  <c r="K101" i="8"/>
  <c r="K102" i="8"/>
  <c r="K104" i="8"/>
  <c r="K105" i="8"/>
  <c r="K106" i="8"/>
  <c r="K108" i="8"/>
  <c r="K109" i="8"/>
  <c r="K110" i="8"/>
  <c r="K112" i="8"/>
  <c r="K113" i="8"/>
  <c r="K114" i="8"/>
  <c r="C30" i="13" l="1"/>
  <c r="C29" i="13" s="1"/>
  <c r="C8" i="13"/>
  <c r="C24" i="13"/>
  <c r="C23" i="13" s="1"/>
  <c r="C42" i="13"/>
  <c r="C41" i="13" s="1"/>
  <c r="Q10" i="17"/>
  <c r="Q17" i="17" s="1"/>
  <c r="C26" i="13"/>
  <c r="C53" i="13"/>
  <c r="C34" i="13"/>
  <c r="C17" i="13"/>
  <c r="K176" i="8"/>
  <c r="K93" i="8"/>
  <c r="C48" i="13" l="1"/>
  <c r="C47" i="13" s="1"/>
  <c r="C40" i="13" s="1"/>
  <c r="C13" i="13"/>
  <c r="C12" i="13" s="1"/>
  <c r="C7" i="13"/>
  <c r="C22" i="13"/>
  <c r="K77" i="8"/>
  <c r="K76" i="8"/>
  <c r="L76" i="8" s="1"/>
  <c r="K57" i="8"/>
  <c r="K74" i="8" s="1"/>
  <c r="K58" i="8"/>
  <c r="K75" i="8" s="1"/>
  <c r="K56" i="8"/>
  <c r="K73" i="8" s="1"/>
  <c r="K36" i="8"/>
  <c r="K53" i="8" s="1"/>
  <c r="K37" i="8"/>
  <c r="K54" i="8" s="1"/>
  <c r="K35" i="8"/>
  <c r="K52" i="8" s="1"/>
  <c r="E19" i="8"/>
  <c r="E15" i="8"/>
  <c r="K12" i="8"/>
  <c r="K33" i="8" s="1"/>
  <c r="K11" i="8"/>
  <c r="H254" i="8"/>
  <c r="F254" i="8"/>
  <c r="D254" i="8"/>
  <c r="C254" i="8"/>
  <c r="J250" i="8"/>
  <c r="H250" i="8"/>
  <c r="F250" i="8"/>
  <c r="D250" i="8"/>
  <c r="C250" i="8"/>
  <c r="L245" i="8"/>
  <c r="L244" i="8"/>
  <c r="L226" i="8"/>
  <c r="L225" i="8"/>
  <c r="L224" i="8"/>
  <c r="L223" i="8"/>
  <c r="L205" i="8"/>
  <c r="L204" i="8"/>
  <c r="L203" i="8"/>
  <c r="L202" i="8"/>
  <c r="L198" i="8"/>
  <c r="L181" i="8"/>
  <c r="L180" i="8"/>
  <c r="L179" i="8"/>
  <c r="L177" i="8"/>
  <c r="L176" i="8"/>
  <c r="J170" i="8"/>
  <c r="H170" i="8"/>
  <c r="F170" i="8"/>
  <c r="D170" i="8"/>
  <c r="C170" i="8"/>
  <c r="J167" i="8"/>
  <c r="L163" i="8"/>
  <c r="L162" i="8"/>
  <c r="L161" i="8"/>
  <c r="L143" i="8"/>
  <c r="L142" i="8"/>
  <c r="L141" i="8"/>
  <c r="L140" i="8"/>
  <c r="L122" i="8"/>
  <c r="L121" i="8"/>
  <c r="L120" i="8"/>
  <c r="L119" i="8"/>
  <c r="L115" i="8"/>
  <c r="L98" i="8"/>
  <c r="L97" i="8"/>
  <c r="L96" i="8"/>
  <c r="L94" i="8"/>
  <c r="L93" i="8"/>
  <c r="K92" i="8"/>
  <c r="L92" i="8" s="1"/>
  <c r="J82" i="8"/>
  <c r="H82" i="8"/>
  <c r="F82" i="8"/>
  <c r="D82" i="8"/>
  <c r="C82" i="8"/>
  <c r="L77" i="8"/>
  <c r="I75" i="8"/>
  <c r="G75" i="8"/>
  <c r="E75" i="8"/>
  <c r="I74" i="8"/>
  <c r="G74" i="8"/>
  <c r="E74" i="8"/>
  <c r="I73" i="8"/>
  <c r="G73" i="8"/>
  <c r="E73" i="8"/>
  <c r="I71" i="8"/>
  <c r="G71" i="8"/>
  <c r="E71" i="8"/>
  <c r="I70" i="8"/>
  <c r="G70" i="8"/>
  <c r="E70" i="8"/>
  <c r="I69" i="8"/>
  <c r="G69" i="8"/>
  <c r="E69" i="8"/>
  <c r="I67" i="8"/>
  <c r="G67" i="8"/>
  <c r="E67" i="8"/>
  <c r="I66" i="8"/>
  <c r="G66" i="8"/>
  <c r="E66" i="8"/>
  <c r="I65" i="8"/>
  <c r="G65" i="8"/>
  <c r="E65" i="8"/>
  <c r="K63" i="8"/>
  <c r="I63" i="8"/>
  <c r="G63" i="8"/>
  <c r="E63" i="8"/>
  <c r="I62" i="8"/>
  <c r="G62" i="8"/>
  <c r="E62" i="8"/>
  <c r="I61" i="8"/>
  <c r="G61" i="8"/>
  <c r="E61" i="8"/>
  <c r="L55" i="8"/>
  <c r="I54" i="8"/>
  <c r="G54" i="8"/>
  <c r="E54" i="8"/>
  <c r="I53" i="8"/>
  <c r="G53" i="8"/>
  <c r="E53" i="8"/>
  <c r="I52" i="8"/>
  <c r="G52" i="8"/>
  <c r="E52" i="8"/>
  <c r="I50" i="8"/>
  <c r="G50" i="8"/>
  <c r="E50" i="8"/>
  <c r="I49" i="8"/>
  <c r="G49" i="8"/>
  <c r="E49" i="8"/>
  <c r="I48" i="8"/>
  <c r="G48" i="8"/>
  <c r="E48" i="8"/>
  <c r="I46" i="8"/>
  <c r="G46" i="8"/>
  <c r="E46" i="8"/>
  <c r="I45" i="8"/>
  <c r="G45" i="8"/>
  <c r="E45" i="8"/>
  <c r="I44" i="8"/>
  <c r="G44" i="8"/>
  <c r="E44" i="8"/>
  <c r="I42" i="8"/>
  <c r="G42" i="8"/>
  <c r="E42" i="8"/>
  <c r="I41" i="8"/>
  <c r="G41" i="8"/>
  <c r="E41" i="8"/>
  <c r="I40" i="8"/>
  <c r="G40" i="8"/>
  <c r="E40" i="8"/>
  <c r="L34" i="8"/>
  <c r="I33" i="8"/>
  <c r="G33" i="8"/>
  <c r="E33" i="8"/>
  <c r="I32" i="8"/>
  <c r="G32" i="8"/>
  <c r="E32" i="8"/>
  <c r="I31" i="8"/>
  <c r="G31" i="8"/>
  <c r="E31" i="8"/>
  <c r="L30" i="8"/>
  <c r="I29" i="8"/>
  <c r="G29" i="8"/>
  <c r="E29" i="8"/>
  <c r="I28" i="8"/>
  <c r="G28" i="8"/>
  <c r="E28" i="8"/>
  <c r="I27" i="8"/>
  <c r="G27" i="8"/>
  <c r="E27" i="8"/>
  <c r="I25" i="8"/>
  <c r="G25" i="8"/>
  <c r="E25" i="8"/>
  <c r="I24" i="8"/>
  <c r="G24" i="8"/>
  <c r="E24" i="8"/>
  <c r="I23" i="8"/>
  <c r="G23" i="8"/>
  <c r="E23" i="8"/>
  <c r="I21" i="8"/>
  <c r="G21" i="8"/>
  <c r="E21" i="8"/>
  <c r="I20" i="8"/>
  <c r="G20" i="8"/>
  <c r="E20" i="8"/>
  <c r="I19" i="8"/>
  <c r="G19" i="8"/>
  <c r="I17" i="8"/>
  <c r="G17" i="8"/>
  <c r="E17" i="8"/>
  <c r="I16" i="8"/>
  <c r="G16" i="8"/>
  <c r="E16" i="8"/>
  <c r="I15" i="8"/>
  <c r="G15" i="8"/>
  <c r="L13" i="8"/>
  <c r="K10" i="8"/>
  <c r="K31" i="8" s="1"/>
  <c r="L9" i="8"/>
  <c r="K8" i="8"/>
  <c r="L8" i="8" s="1"/>
  <c r="K32" i="8" l="1"/>
  <c r="L32" i="8" s="1"/>
  <c r="K28" i="8"/>
  <c r="L28" i="8" s="1"/>
  <c r="K24" i="8"/>
  <c r="L24" i="8" s="1"/>
  <c r="K16" i="8"/>
  <c r="L16" i="8" s="1"/>
  <c r="C6" i="13"/>
  <c r="K40" i="8"/>
  <c r="L40" i="8" s="1"/>
  <c r="K48" i="8"/>
  <c r="L48" i="8" s="1"/>
  <c r="L35" i="8"/>
  <c r="K71" i="8"/>
  <c r="L71" i="8" s="1"/>
  <c r="K25" i="8"/>
  <c r="L25" i="8" s="1"/>
  <c r="K21" i="8"/>
  <c r="L21" i="8" s="1"/>
  <c r="K44" i="8"/>
  <c r="L44" i="8" s="1"/>
  <c r="K69" i="8"/>
  <c r="L69" i="8" s="1"/>
  <c r="L11" i="8"/>
  <c r="K20" i="8"/>
  <c r="L20" i="8" s="1"/>
  <c r="L58" i="8"/>
  <c r="K67" i="8"/>
  <c r="L67" i="8" s="1"/>
  <c r="L188" i="8"/>
  <c r="L189" i="8"/>
  <c r="L56" i="8"/>
  <c r="K65" i="8"/>
  <c r="L65" i="8" s="1"/>
  <c r="L184" i="8"/>
  <c r="L185" i="8"/>
  <c r="L239" i="8"/>
  <c r="K61" i="8"/>
  <c r="L61" i="8" s="1"/>
  <c r="L113" i="8"/>
  <c r="L114" i="8"/>
  <c r="L117" i="8"/>
  <c r="L118" i="8"/>
  <c r="L125" i="8"/>
  <c r="L126" i="8"/>
  <c r="L127" i="8"/>
  <c r="L129" i="8"/>
  <c r="L130" i="8"/>
  <c r="L131" i="8"/>
  <c r="L133" i="8"/>
  <c r="L134" i="8"/>
  <c r="L135" i="8"/>
  <c r="L137" i="8"/>
  <c r="L138" i="8"/>
  <c r="L139" i="8"/>
  <c r="L192" i="8"/>
  <c r="L193" i="8"/>
  <c r="L199" i="8"/>
  <c r="L33" i="8"/>
  <c r="L105" i="8"/>
  <c r="L110" i="8"/>
  <c r="L146" i="8"/>
  <c r="L148" i="8"/>
  <c r="L151" i="8"/>
  <c r="L154" i="8"/>
  <c r="L155" i="8"/>
  <c r="L158" i="8"/>
  <c r="L160" i="8"/>
  <c r="L12" i="8"/>
  <c r="L36" i="8"/>
  <c r="L57" i="8"/>
  <c r="L106" i="8"/>
  <c r="L210" i="8"/>
  <c r="L229" i="8"/>
  <c r="L230" i="8"/>
  <c r="L231" i="8"/>
  <c r="L233" i="8"/>
  <c r="L234" i="8"/>
  <c r="L235" i="8"/>
  <c r="L237" i="8"/>
  <c r="L238" i="8"/>
  <c r="K19" i="8"/>
  <c r="L19" i="8" s="1"/>
  <c r="K23" i="8"/>
  <c r="L23" i="8" s="1"/>
  <c r="K17" i="8"/>
  <c r="L17" i="8" s="1"/>
  <c r="L109" i="8"/>
  <c r="L147" i="8"/>
  <c r="L150" i="8"/>
  <c r="L152" i="8"/>
  <c r="L156" i="8"/>
  <c r="L159" i="8"/>
  <c r="K29" i="8"/>
  <c r="L29" i="8" s="1"/>
  <c r="L37" i="8"/>
  <c r="K41" i="8"/>
  <c r="L41" i="8" s="1"/>
  <c r="K42" i="8"/>
  <c r="L42" i="8" s="1"/>
  <c r="K45" i="8"/>
  <c r="L45" i="8" s="1"/>
  <c r="K46" i="8"/>
  <c r="L46" i="8" s="1"/>
  <c r="K49" i="8"/>
  <c r="L49" i="8" s="1"/>
  <c r="K50" i="8"/>
  <c r="L50" i="8" s="1"/>
  <c r="K62" i="8"/>
  <c r="L62" i="8" s="1"/>
  <c r="K66" i="8"/>
  <c r="L66" i="8" s="1"/>
  <c r="K70" i="8"/>
  <c r="L70" i="8" s="1"/>
  <c r="L101" i="8"/>
  <c r="L102" i="8"/>
  <c r="L104" i="8"/>
  <c r="L187" i="8"/>
  <c r="L191" i="8"/>
  <c r="L196" i="8"/>
  <c r="L197" i="8"/>
  <c r="L200" i="8"/>
  <c r="L201" i="8"/>
  <c r="L208" i="8"/>
  <c r="L209" i="8"/>
  <c r="L212" i="8"/>
  <c r="L213" i="8"/>
  <c r="L214" i="8"/>
  <c r="L216" i="8"/>
  <c r="L217" i="8"/>
  <c r="L218" i="8"/>
  <c r="L220" i="8"/>
  <c r="L221" i="8"/>
  <c r="L222" i="8"/>
  <c r="L241" i="8"/>
  <c r="L242" i="8"/>
  <c r="L243" i="8"/>
  <c r="L63" i="8"/>
  <c r="L75" i="8"/>
  <c r="L74" i="8"/>
  <c r="L73" i="8"/>
  <c r="L53" i="8"/>
  <c r="L54" i="8"/>
  <c r="L52" i="8"/>
  <c r="L31" i="8"/>
  <c r="L100" i="8"/>
  <c r="K15" i="8"/>
  <c r="L15" i="8" s="1"/>
  <c r="L108" i="8"/>
  <c r="L183" i="8"/>
  <c r="L95" i="8"/>
  <c r="L112" i="8"/>
  <c r="L116" i="8"/>
  <c r="L10" i="8"/>
  <c r="L82" i="8" s="1"/>
  <c r="K27" i="8"/>
  <c r="L27" i="8" s="1"/>
  <c r="L178" i="8"/>
  <c r="L195" i="8"/>
  <c r="L167" i="8" l="1"/>
  <c r="L169" i="8" s="1"/>
  <c r="L170" i="8" s="1"/>
  <c r="C18" i="10" s="1"/>
  <c r="C52" i="13" s="1"/>
  <c r="L252" i="8"/>
  <c r="L254" i="8" l="1"/>
  <c r="C6" i="10" s="1"/>
  <c r="C16" i="13" s="1"/>
  <c r="L84" i="8"/>
  <c r="L85" i="8" s="1"/>
  <c r="C12" i="10" s="1"/>
  <c r="C33" i="13" s="1"/>
  <c r="F24" i="7" l="1"/>
  <c r="F22" i="7"/>
  <c r="E22" i="7"/>
  <c r="D22" i="7"/>
  <c r="C22" i="7"/>
  <c r="G22" i="7" s="1"/>
  <c r="F21" i="7"/>
  <c r="E21" i="7"/>
  <c r="D21" i="7"/>
  <c r="C21" i="7"/>
  <c r="G21" i="7" s="1"/>
  <c r="F20" i="7"/>
  <c r="E20" i="7"/>
  <c r="D20" i="7"/>
  <c r="C20" i="7"/>
  <c r="F19" i="7"/>
  <c r="E19" i="7"/>
  <c r="D19" i="7"/>
  <c r="C19" i="7"/>
  <c r="F18" i="7"/>
  <c r="E18" i="7"/>
  <c r="D18" i="7"/>
  <c r="C18" i="7"/>
  <c r="G18" i="7" s="1"/>
  <c r="F17" i="7"/>
  <c r="E17" i="7"/>
  <c r="D17" i="7"/>
  <c r="C17" i="7"/>
  <c r="F11" i="7"/>
  <c r="E11" i="7"/>
  <c r="D11" i="7"/>
  <c r="C11" i="7"/>
  <c r="F10" i="7"/>
  <c r="E10" i="7"/>
  <c r="D10" i="7"/>
  <c r="C10" i="7"/>
  <c r="F9" i="7"/>
  <c r="E9" i="7"/>
  <c r="D9" i="7"/>
  <c r="C9" i="7"/>
  <c r="F8" i="7"/>
  <c r="E8" i="7"/>
  <c r="D8" i="7"/>
  <c r="C8" i="7"/>
  <c r="F7" i="7"/>
  <c r="E7" i="7"/>
  <c r="D7" i="7"/>
  <c r="C7" i="7"/>
  <c r="F6" i="7"/>
  <c r="E6" i="7"/>
  <c r="D6" i="7"/>
  <c r="C6" i="7"/>
  <c r="G9" i="7"/>
  <c r="G11" i="7" l="1"/>
  <c r="C12" i="7"/>
  <c r="F23" i="7"/>
  <c r="D12" i="7"/>
  <c r="G10" i="7"/>
  <c r="C23" i="7"/>
  <c r="E12" i="7"/>
  <c r="G8" i="7"/>
  <c r="D23" i="7"/>
  <c r="G20" i="7"/>
  <c r="F12" i="7"/>
  <c r="G7" i="7"/>
  <c r="E23" i="7"/>
  <c r="G19" i="7"/>
  <c r="G6" i="7"/>
  <c r="G17" i="7"/>
  <c r="G23" i="7" l="1"/>
  <c r="G12" i="7"/>
  <c r="J13" i="6"/>
  <c r="I7" i="6"/>
  <c r="M17" i="7" s="1"/>
  <c r="G18" i="6"/>
  <c r="G17" i="6"/>
  <c r="G16" i="6"/>
  <c r="G15" i="6"/>
  <c r="G14" i="6"/>
  <c r="G13" i="6"/>
  <c r="I12" i="6"/>
  <c r="M22" i="7" s="1"/>
  <c r="H12" i="6"/>
  <c r="L22" i="7" s="1"/>
  <c r="G12" i="6"/>
  <c r="I11" i="6"/>
  <c r="M21" i="7" s="1"/>
  <c r="H11" i="6"/>
  <c r="L21" i="7" s="1"/>
  <c r="G11" i="6"/>
  <c r="I10" i="6"/>
  <c r="M20" i="7" s="1"/>
  <c r="H10" i="6"/>
  <c r="L20" i="7" s="1"/>
  <c r="G10" i="6"/>
  <c r="M19" i="7"/>
  <c r="H9" i="6"/>
  <c r="L19" i="7" s="1"/>
  <c r="G9" i="6"/>
  <c r="I8" i="6"/>
  <c r="M18" i="7" s="1"/>
  <c r="H8" i="6"/>
  <c r="L18" i="7" s="1"/>
  <c r="G8" i="6"/>
  <c r="H7" i="6"/>
  <c r="L17" i="7" s="1"/>
  <c r="G7" i="6"/>
  <c r="J14" i="5"/>
  <c r="J15" i="5"/>
  <c r="J16" i="5"/>
  <c r="J17" i="5"/>
  <c r="J18" i="5"/>
  <c r="J13" i="5"/>
  <c r="G8" i="5"/>
  <c r="G9" i="5"/>
  <c r="G10" i="5"/>
  <c r="G11" i="5"/>
  <c r="G12" i="5"/>
  <c r="G13" i="5"/>
  <c r="G14" i="5"/>
  <c r="G15" i="5"/>
  <c r="G16" i="5"/>
  <c r="G17" i="5"/>
  <c r="G18" i="5"/>
  <c r="G7" i="5"/>
  <c r="H13" i="5"/>
  <c r="L23" i="7" l="1"/>
  <c r="G19" i="5"/>
  <c r="M23" i="7"/>
  <c r="I12" i="5"/>
  <c r="M11" i="7" s="1"/>
  <c r="I11" i="5"/>
  <c r="M10" i="7" s="1"/>
  <c r="I10" i="5"/>
  <c r="M8" i="7"/>
  <c r="I8" i="5"/>
  <c r="I7" i="5"/>
  <c r="J9" i="5"/>
  <c r="N8" i="7" s="1"/>
  <c r="H8" i="5"/>
  <c r="L7" i="7" s="1"/>
  <c r="H9" i="5"/>
  <c r="H10" i="5"/>
  <c r="L9" i="7" s="1"/>
  <c r="H11" i="5"/>
  <c r="L10" i="7" s="1"/>
  <c r="H12" i="5"/>
  <c r="L11" i="7" s="1"/>
  <c r="H7" i="5"/>
  <c r="L6" i="7" s="1"/>
  <c r="J12" i="5" l="1"/>
  <c r="N11" i="7" s="1"/>
  <c r="J11" i="5"/>
  <c r="N10" i="7" s="1"/>
  <c r="M6" i="7"/>
  <c r="J7" i="5"/>
  <c r="N6" i="7" s="1"/>
  <c r="J8" i="5"/>
  <c r="N7" i="7" s="1"/>
  <c r="M7" i="7"/>
  <c r="L12" i="7"/>
  <c r="J10" i="5"/>
  <c r="N9" i="7" s="1"/>
  <c r="M9" i="7"/>
  <c r="H19" i="6"/>
  <c r="F19" i="6"/>
  <c r="E19" i="6"/>
  <c r="D19" i="6"/>
  <c r="C19" i="6"/>
  <c r="J18" i="6"/>
  <c r="J17" i="6"/>
  <c r="J16" i="6"/>
  <c r="J15" i="6"/>
  <c r="J14" i="6"/>
  <c r="N18" i="7" s="1"/>
  <c r="J12" i="6"/>
  <c r="J11" i="6"/>
  <c r="J10" i="6"/>
  <c r="J9" i="6"/>
  <c r="J8" i="6"/>
  <c r="J7" i="6"/>
  <c r="N17" i="7" s="1"/>
  <c r="G19" i="6"/>
  <c r="H19" i="5"/>
  <c r="F19" i="5"/>
  <c r="E19" i="5"/>
  <c r="D19" i="5"/>
  <c r="C19" i="5"/>
  <c r="N21" i="7" l="1"/>
  <c r="N22" i="7"/>
  <c r="N19" i="7"/>
  <c r="N20" i="7"/>
  <c r="N23" i="7" s="1"/>
  <c r="C24" i="7" s="1"/>
  <c r="C17" i="10" s="1"/>
  <c r="N12" i="7"/>
  <c r="M12" i="7"/>
  <c r="J19" i="6"/>
  <c r="J19" i="5"/>
  <c r="I19" i="5"/>
  <c r="I19" i="6"/>
  <c r="C51" i="13" l="1"/>
  <c r="C50" i="13" s="1"/>
  <c r="C54" i="13" s="1"/>
  <c r="B32" i="14" s="1"/>
  <c r="A39" i="14" s="1"/>
  <c r="C19" i="10"/>
  <c r="C13" i="7"/>
  <c r="C20" i="6"/>
  <c r="C20" i="5"/>
  <c r="C5" i="10" l="1"/>
  <c r="C11" i="10"/>
  <c r="B39" i="14"/>
  <c r="C32" i="13" l="1"/>
  <c r="C31" i="13" s="1"/>
  <c r="C35" i="13" s="1"/>
  <c r="B16" i="14" s="1"/>
  <c r="A23" i="14" s="1"/>
  <c r="J40" i="14"/>
  <c r="J43" i="14" s="1"/>
  <c r="N40" i="14"/>
  <c r="N42" i="14" s="1"/>
  <c r="F40" i="14"/>
  <c r="C40" i="14"/>
  <c r="I40" i="14"/>
  <c r="L40" i="14"/>
  <c r="G40" i="14"/>
  <c r="D40" i="14"/>
  <c r="M40" i="14"/>
  <c r="M43" i="14" s="1"/>
  <c r="H40" i="14"/>
  <c r="E40" i="14"/>
  <c r="K40" i="14"/>
  <c r="C13" i="10"/>
  <c r="C7" i="10"/>
  <c r="C15" i="13"/>
  <c r="C14" i="13" s="1"/>
  <c r="C18" i="13" s="1"/>
  <c r="B1" i="14" s="1"/>
  <c r="A8" i="14" s="1"/>
  <c r="H42" i="14" l="1"/>
  <c r="K42" i="14"/>
  <c r="M41" i="14"/>
  <c r="N41" i="14"/>
  <c r="H41" i="14"/>
  <c r="H43" i="14" s="1"/>
  <c r="F41" i="14"/>
  <c r="F43" i="14" s="1"/>
  <c r="E42" i="14"/>
  <c r="D42" i="14"/>
  <c r="D43" i="14"/>
  <c r="J41" i="14"/>
  <c r="K41" i="14"/>
  <c r="K43" i="14" s="1"/>
  <c r="G41" i="14"/>
  <c r="G43" i="14"/>
  <c r="B8" i="14"/>
  <c r="C42" i="14"/>
  <c r="C41" i="14"/>
  <c r="I41" i="14"/>
  <c r="I43" i="14" s="1"/>
  <c r="C43" i="14"/>
  <c r="D41" i="14"/>
  <c r="L41" i="14"/>
  <c r="L43" i="14" s="1"/>
  <c r="E41" i="14"/>
  <c r="E43" i="14" s="1"/>
  <c r="B23" i="14"/>
  <c r="I42" i="14" l="1"/>
  <c r="J42" i="14" s="1"/>
  <c r="F42" i="14"/>
  <c r="G42" i="14" s="1"/>
  <c r="L42" i="14"/>
  <c r="M42" i="14" s="1"/>
  <c r="C9" i="14"/>
  <c r="L9" i="14"/>
  <c r="K9" i="14"/>
  <c r="M9" i="14"/>
  <c r="M12" i="14" s="1"/>
  <c r="I9" i="14"/>
  <c r="E9" i="14"/>
  <c r="D9" i="14"/>
  <c r="N9" i="14"/>
  <c r="N11" i="14" s="1"/>
  <c r="J9" i="14"/>
  <c r="H9" i="14"/>
  <c r="G9" i="14"/>
  <c r="G12" i="14" s="1"/>
  <c r="F9" i="14"/>
  <c r="M24" i="14"/>
  <c r="M27" i="14" s="1"/>
  <c r="K24" i="14"/>
  <c r="D24" i="14"/>
  <c r="G24" i="14"/>
  <c r="G27" i="14" s="1"/>
  <c r="N24" i="14"/>
  <c r="N26" i="14" s="1"/>
  <c r="I24" i="14"/>
  <c r="F24" i="14"/>
  <c r="E24" i="14"/>
  <c r="L24" i="14"/>
  <c r="H24" i="14"/>
  <c r="C24" i="14"/>
  <c r="J24" i="14"/>
  <c r="H11" i="14" l="1"/>
  <c r="H26" i="14"/>
  <c r="E26" i="14"/>
  <c r="E11" i="14"/>
  <c r="B44" i="14"/>
  <c r="B33" i="14" s="1"/>
  <c r="K26" i="14"/>
  <c r="H25" i="14"/>
  <c r="H27" i="14" s="1"/>
  <c r="G25" i="14"/>
  <c r="K25" i="14"/>
  <c r="K27" i="14" s="1"/>
  <c r="J25" i="14"/>
  <c r="D26" i="14"/>
  <c r="D27" i="14"/>
  <c r="M10" i="14"/>
  <c r="N10" i="14"/>
  <c r="M25" i="14"/>
  <c r="N25" i="14"/>
  <c r="J12" i="14"/>
  <c r="D12" i="14"/>
  <c r="D11" i="14"/>
  <c r="J10" i="14"/>
  <c r="K10" i="14"/>
  <c r="K12" i="14" s="1"/>
  <c r="K11" i="14"/>
  <c r="L10" i="14"/>
  <c r="L11" i="14" s="1"/>
  <c r="M11" i="14" s="1"/>
  <c r="C11" i="14"/>
  <c r="F10" i="14"/>
  <c r="F12" i="14" s="1"/>
  <c r="I10" i="14"/>
  <c r="I12" i="14" s="1"/>
  <c r="E10" i="14"/>
  <c r="E12" i="14" s="1"/>
  <c r="D10" i="14"/>
  <c r="C12" i="14"/>
  <c r="C10" i="14"/>
  <c r="J27" i="14"/>
  <c r="G10" i="14"/>
  <c r="H10" i="14"/>
  <c r="H12" i="14" s="1"/>
  <c r="L25" i="14"/>
  <c r="L27" i="14" s="1"/>
  <c r="F25" i="14"/>
  <c r="F27" i="14" s="1"/>
  <c r="E25" i="14"/>
  <c r="E27" i="14" s="1"/>
  <c r="C27" i="14"/>
  <c r="I25" i="14"/>
  <c r="I27" i="14" s="1"/>
  <c r="D25" i="14"/>
  <c r="C25" i="14"/>
  <c r="C26" i="14"/>
  <c r="I26" i="14" l="1"/>
  <c r="J26" i="14" s="1"/>
  <c r="F11" i="14"/>
  <c r="G11" i="14" s="1"/>
  <c r="I11" i="14"/>
  <c r="J11" i="14" s="1"/>
  <c r="B34" i="14"/>
  <c r="L26" i="14"/>
  <c r="M26" i="14" s="1"/>
  <c r="F26" i="14"/>
  <c r="G26" i="14" s="1"/>
  <c r="L12" i="14"/>
  <c r="B13" i="14" l="1"/>
  <c r="B2" i="14" s="1"/>
  <c r="B28" i="14"/>
  <c r="B18" i="14" s="1"/>
  <c r="B3" i="14" l="1"/>
  <c r="B17"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C8" authorId="0" shapeId="0" xr:uid="{83B52AF1-F8C9-4A0D-8EC2-9B8CDD9639B9}">
      <text>
        <r>
          <rPr>
            <b/>
            <sz val="9"/>
            <color indexed="81"/>
            <rFont val="Tahoma"/>
            <family val="2"/>
          </rPr>
          <t>Windows User:</t>
        </r>
        <r>
          <rPr>
            <sz val="9"/>
            <color indexed="81"/>
            <rFont val="Tahoma"/>
            <family val="2"/>
          </rPr>
          <t xml:space="preserve">
15 quận huyện x 25 vđv
</t>
        </r>
      </text>
    </comment>
    <comment ref="C9" authorId="0" shapeId="0" xr:uid="{8E7C8A6F-FAC9-4AE4-AB36-E19203598683}">
      <text>
        <r>
          <rPr>
            <b/>
            <sz val="9"/>
            <color indexed="81"/>
            <rFont val="Tahoma"/>
            <family val="2"/>
          </rPr>
          <t>Windows User:</t>
        </r>
        <r>
          <rPr>
            <sz val="9"/>
            <color indexed="81"/>
            <rFont val="Tahoma"/>
            <family val="2"/>
          </rPr>
          <t xml:space="preserve">
15 quận huyện x 5 huấn luyện viên</t>
        </r>
      </text>
    </comment>
  </commentList>
</comments>
</file>

<file path=xl/sharedStrings.xml><?xml version="1.0" encoding="utf-8"?>
<sst xmlns="http://schemas.openxmlformats.org/spreadsheetml/2006/main" count="823" uniqueCount="302">
  <si>
    <t>Năm</t>
  </si>
  <si>
    <t>Cộng</t>
  </si>
  <si>
    <t>Ghi chú</t>
  </si>
  <si>
    <t>HỆ THỐNG GIẢI</t>
  </si>
  <si>
    <t>THÀNH TÍCH</t>
  </si>
  <si>
    <t>MỨC THƯỞNG
(Đvt: triệu đồng)</t>
  </si>
  <si>
    <t>CHI THƯỞNG
(Đvt: triệu đồng)</t>
  </si>
  <si>
    <t>V</t>
  </si>
  <si>
    <t>B</t>
  </si>
  <si>
    <t>Đ</t>
  </si>
  <si>
    <t>PKL</t>
  </si>
  <si>
    <t>Cộng HC</t>
  </si>
  <si>
    <t>VĐV</t>
  </si>
  <si>
    <t>HLV</t>
  </si>
  <si>
    <t>Năm không tổ chức Đại hội Thể thao</t>
  </si>
  <si>
    <t>Vô địch các môn Thể thao</t>
  </si>
  <si>
    <t>Cúp, đội mạnh, câu lạc bộ, nhóm vận động viên xuất sắc</t>
  </si>
  <si>
    <t>Vô địch trẻ, Trẻ (từ 18 - dưới 21 tuổi)</t>
  </si>
  <si>
    <t>Trẻ (từ 16 - dưới 18 tuổi)</t>
  </si>
  <si>
    <t>Thiếu niên (từ 12 - dưới 16 tuổi)</t>
  </si>
  <si>
    <t>Thiếu nhi (dưới 12 tuổi)</t>
  </si>
  <si>
    <t>Cộng:</t>
  </si>
  <si>
    <t>Tổng tiền thưởng năm:</t>
  </si>
  <si>
    <t>Năm tổ chức Đại hội Thể thao</t>
  </si>
  <si>
    <t>Đại hội Thể thao toàn quốc</t>
  </si>
  <si>
    <t>NHỮNG NĂM KHÔNG TỔ CHỨC ĐẠI HỘI THỂ THAO TOÀN QUỐC</t>
  </si>
  <si>
    <t>Giải</t>
  </si>
  <si>
    <t>SỐ LƯỢNG VĐV ĐẠT THÀNH TÍCH</t>
  </si>
  <si>
    <t>Cá nhân</t>
  </si>
  <si>
    <t>Tập thể</t>
  </si>
  <si>
    <t>Tổng:</t>
  </si>
  <si>
    <t>NHỮNG NĂM TỔ CHỨC ĐẠI HỘI THỂ THAO TOÀN QUỐC</t>
  </si>
  <si>
    <t>BẢNG DỰ KIẾN THÀNH TÍCH VÀ KHEN THƯỞNG CHO VẬN ĐỘNG VIÊN,  HUẤN LUYỆN VIÊN GIÀNH THÀNH TÍCH TẠI CÁC GIẢI QUỐC GIA</t>
  </si>
  <si>
    <t xml:space="preserve">                    Ghi chú: Ngoài số lượng HC dự kiến trong bảng, hàng năm Thể thao thành tích cao của Trung tâm dự kiến giành được thêm từ 60 - 70 huy chương các loại tại các giải mở rộng và khu vực (không thuộc diện được khen thưởng theo Đề án)</t>
  </si>
  <si>
    <t>BẢNG DỰ KIẾN THÀNH TÍCH VÀ KHEN THƯỞNG CHO VẬN ĐỘNG VIÊN, HUẤN LUYỆN VIÊN GIÀNH THÀNH TÍCH TẠI CÁC GIẢI QUỐC GIA</t>
  </si>
  <si>
    <t>SỐ LƯỢT VĐV ĐẠT THÀNH TÍCH</t>
  </si>
  <si>
    <t>(Dự kiến chi thưởng cho vận động viên, huấn luyện viên đạt thành tích tại các giải thể thao khu vực và quốc tế)</t>
  </si>
  <si>
    <t>STT</t>
  </si>
  <si>
    <t>Hệ thống giải đấu</t>
  </si>
  <si>
    <t>Ước lượng số giải</t>
  </si>
  <si>
    <t>Ước lượng số tiền thưởng
(Triệu đồng)</t>
  </si>
  <si>
    <t>HCV</t>
  </si>
  <si>
    <t>Mức thưởng
(triệu đồng)</t>
  </si>
  <si>
    <t xml:space="preserve">HCB </t>
  </si>
  <si>
    <t>HCĐ</t>
  </si>
  <si>
    <t>Phá Kỷ lục</t>
  </si>
  <si>
    <t>I. Thưởng cho vận động viên:</t>
  </si>
  <si>
    <t>SEA Games</t>
  </si>
  <si>
    <t>Vô địch Thế giới</t>
  </si>
  <si>
    <t>Nhóm 1:</t>
  </si>
  <si>
    <t>Nhóm 2:</t>
  </si>
  <si>
    <t>Nhóm 3:</t>
  </si>
  <si>
    <t xml:space="preserve">Vô địch trẻ Thế giới </t>
  </si>
  <si>
    <t>3.1</t>
  </si>
  <si>
    <t>Lứa tuổi 18 - dưới 21</t>
  </si>
  <si>
    <t>3.2</t>
  </si>
  <si>
    <t>Lứa tuổi 16 - dưới 18</t>
  </si>
  <si>
    <t>3.3</t>
  </si>
  <si>
    <t>Lứa tuổi 12 - dưới 16</t>
  </si>
  <si>
    <t>3.4</t>
  </si>
  <si>
    <t>Lứa tuổi dưới 12</t>
  </si>
  <si>
    <t>Cúp Thế giới</t>
  </si>
  <si>
    <t xml:space="preserve">Vô địch Châu Á </t>
  </si>
  <si>
    <t>Vô địch trẻ Châu Á</t>
  </si>
  <si>
    <t>6.1</t>
  </si>
  <si>
    <t>6.2</t>
  </si>
  <si>
    <t>6.3</t>
  </si>
  <si>
    <t>6.4</t>
  </si>
  <si>
    <t xml:space="preserve">VĐ Đông Nam Á </t>
  </si>
  <si>
    <t>VĐ trẻ Đông Nam Á</t>
  </si>
  <si>
    <t>8.1</t>
  </si>
  <si>
    <t>8.2</t>
  </si>
  <si>
    <t>8.3</t>
  </si>
  <si>
    <t>8.4</t>
  </si>
  <si>
    <t>Đại hội Thể thao Quy mô Thế giới khác</t>
  </si>
  <si>
    <t>Đại hội Thể thao Quy mô Châu Á khác</t>
  </si>
  <si>
    <t>Đại hội Thể thao Quy mô Đông Nam Á khác</t>
  </si>
  <si>
    <t>II. Thưởng cho huấn luyện viên:</t>
  </si>
  <si>
    <t>Tổng cộng</t>
  </si>
  <si>
    <t>Đại hội Thể thao Châu Á</t>
  </si>
  <si>
    <t>Đại hội Thể thao trẻ Thế giới (2026, 2030…)</t>
  </si>
  <si>
    <t>4.1</t>
  </si>
  <si>
    <t>4.2</t>
  </si>
  <si>
    <t>4.3</t>
  </si>
  <si>
    <t>4.4</t>
  </si>
  <si>
    <t>7.1</t>
  </si>
  <si>
    <t>7.2</t>
  </si>
  <si>
    <t>7.3</t>
  </si>
  <si>
    <t>7.4</t>
  </si>
  <si>
    <t>Olympic</t>
  </si>
  <si>
    <t>9.1</t>
  </si>
  <si>
    <t>9.2</t>
  </si>
  <si>
    <t>9.3</t>
  </si>
  <si>
    <t>9.4</t>
  </si>
  <si>
    <t>I. Đối với những năm không có Đại hội Thể thao toàn quốc và có Olympic:</t>
  </si>
  <si>
    <t>Tổng khen thưởng quốc tế:</t>
  </si>
  <si>
    <t>Tổng khen thưởng quốc gia:</t>
  </si>
  <si>
    <t>Tổng kinh phí khen thưởng trong 01 năm:</t>
  </si>
  <si>
    <t>DỰ KIẾN TỔNG KINH PHÍ 
KHEN THƯỞNG QUỐC GIA, QUỐC TẾ TRONG 01 NĂM</t>
  </si>
  <si>
    <t>Nội dung chi</t>
  </si>
  <si>
    <t>Dự kiến kinh phí
(Đvt: triệu đồng)</t>
  </si>
  <si>
    <t>Năm có Olympic</t>
  </si>
  <si>
    <t>Năm không có Đại hội Thể thao toàn quốc</t>
  </si>
  <si>
    <t>II. Đối với những năm không có Đại hội Thể thao toàn quốc và có SEA Games:</t>
  </si>
  <si>
    <t>Năm có SEA Games</t>
  </si>
  <si>
    <t>III. Đối với những năm có Đại hội Thể thao toàn quốc và có Asiad:</t>
  </si>
  <si>
    <t>Năm có Đại hội Thể thao toàn quốc</t>
  </si>
  <si>
    <t>Năm có Asiad</t>
  </si>
  <si>
    <t>Ước số lượng thành tích/Mức thưởng</t>
  </si>
  <si>
    <t>Nội dung chi đãi ngộ</t>
  </si>
  <si>
    <t>Số lượng
VĐV</t>
  </si>
  <si>
    <t>DỰ KIẾN KINH PHÍ CHẾ ĐỘ ĐÃI NGỘ ĐẶC THÙ 
ĐỐI VỚI VẬN ĐỘNG VIÊN THỂ THAO THÀNH TÍCH CAO THÀNH PHỐ 
ĐẠT THÀNH TÍCH XUẤT SẮC TRONG 01 NĂM</t>
  </si>
  <si>
    <r>
      <t xml:space="preserve">Mức chi
</t>
    </r>
    <r>
      <rPr>
        <sz val="14"/>
        <color theme="1"/>
        <rFont val="Times New Roman"/>
        <family val="1"/>
      </rPr>
      <t>(Đvt: Triệu đồng)</t>
    </r>
  </si>
  <si>
    <r>
      <t xml:space="preserve">Cộng
</t>
    </r>
    <r>
      <rPr>
        <sz val="14"/>
        <color theme="1"/>
        <rFont val="Times New Roman"/>
        <family val="1"/>
      </rPr>
      <t>(Đvt: Triệu đồng)</t>
    </r>
  </si>
  <si>
    <t>Số tháng/ năm</t>
  </si>
  <si>
    <t>Chu kỳ 4 năm</t>
  </si>
  <si>
    <t>Chi đãi ngộ VĐV đạt huy chương vàng SEA Games</t>
  </si>
  <si>
    <t>Chu kỳ 2 năm</t>
  </si>
  <si>
    <t>Chi đãi ngộ VĐV đạt huy chương vàng Đại hội Thể thao toàn quốc</t>
  </si>
  <si>
    <t>5=(2*3*4)</t>
  </si>
  <si>
    <t xml:space="preserve">             Ghi chú: Ngoài số lượng HC dự kiến trong bảng, hàng năm Thể thao thành tích cao của Trung tâm dự kiến giành được thêm từ 60 - 70 huy chương các loại tại các giải mở rộng và khu vực (không thuộc diện được khen thưởng theo Đề án)</t>
  </si>
  <si>
    <t xml:space="preserve">           Ghi chú: Ngoài số lượng HC dự kiến trong bảng, hàng năm Thể thao thành tích cao thành phố dự kiến giành được thêm từ 50 - 60 huy chương các loại tại các giải mở rộng và khu vực (không thuộc diện được khen thưởng theo Đề án)</t>
  </si>
  <si>
    <t>I. Những năm Đại hội Thể thao Đông Nam Á - SEA Games (diễn ra tại các năm 2027, 2029…)</t>
  </si>
  <si>
    <t>II. Những năm Đại hội Thể thao Châu Á - ASIAD (Diễn ra tại các năm 2026, 2030, 2034…)</t>
  </si>
  <si>
    <t>III. Những năm Đại hội Thể thao Thế giới - OLYMPIC (Diễn ra tại các năm 2028, 2032…)</t>
  </si>
  <si>
    <t>Thưởng cho huấn luyện viên:</t>
  </si>
  <si>
    <t>DỰ KIẾN TỔNG KINH PHÍ THÀNH PHỐ
CHI KHEN THƯỞNG QUỐC GIA, QUỐC TẾ, CHẾ ĐỘ CHÍNH SÁCH ĐẶC THÙ VÀ KHEN THƯỞNG TẠI CHỖ TRONG 01 NĂM</t>
  </si>
  <si>
    <t>(Có các phụ lục chi tiết kèm theo)</t>
  </si>
  <si>
    <t>A. Năm không có Đại hội Thể thao toàn quốc, Đại hội Thể thao thành phố và có Olympic:</t>
  </si>
  <si>
    <t>TT</t>
  </si>
  <si>
    <t>I</t>
  </si>
  <si>
    <t>Lĩnh vực TDTT quần chúng, Người khuyết tật, khen thưởng cấp thành phố</t>
  </si>
  <si>
    <t>Lĩnh vực thể thao quần chúng</t>
  </si>
  <si>
    <t>1.1.</t>
  </si>
  <si>
    <t>Thưởng đội tuyển thể thao quần chúng</t>
  </si>
  <si>
    <t>Người khuyết tật</t>
  </si>
  <si>
    <t>2.1.</t>
  </si>
  <si>
    <t>Khen thưởng VĐV khuyết tật tại giải Quốc gia</t>
  </si>
  <si>
    <t>Khen thưởng cấp thành phố</t>
  </si>
  <si>
    <t>Khen thưởng giải thi đấu thể thao cấp thành phố</t>
  </si>
  <si>
    <t>II</t>
  </si>
  <si>
    <t>Lĩnh vực thể thao thành tích cao</t>
  </si>
  <si>
    <t>Chi chính sách đặc thù</t>
  </si>
  <si>
    <t>Chi hàng năm</t>
  </si>
  <si>
    <t xml:space="preserve">Tổng kinh phí I + II </t>
  </si>
  <si>
    <t>B. Năm không có Đại hội Thể thao toàn quốc, Đại hội thể thao thành phố và có SEA Games, Para Games</t>
  </si>
  <si>
    <t>Khen thưởng VĐV khuyết tật tại Para Games</t>
  </si>
  <si>
    <t>2.2.</t>
  </si>
  <si>
    <t>Tổng kinh phí I +II</t>
  </si>
  <si>
    <t>C. Năm có Đại hội Thể thao toàn quốc, Đại hội thể thao thành phố và có Asiad,  Asian ParaGames</t>
  </si>
  <si>
    <t>Khen thưởng VĐV khuyết tật tại Asian Para Games</t>
  </si>
  <si>
    <t>Khen thưởng Đại hội thể dục thể thao thành phố</t>
  </si>
  <si>
    <t>Số cần đọc là:</t>
  </si>
  <si>
    <t>Bằng chữ:</t>
  </si>
  <si>
    <t>Đọc thành tiền:</t>
  </si>
  <si>
    <t xml:space="preserve">Dự kiến kinh phí để thực hiện mức chi cho đội tuyển thể thao quần chúng cấp thành phố trong thời gian tập trung tập huấn, thi đấu 
</t>
  </si>
  <si>
    <t xml:space="preserve">Đội tuyển thể thao quần chúng </t>
  </si>
  <si>
    <t>Số người</t>
  </si>
  <si>
    <t>Chế độ hiện tại đang thực hiện theo quy định</t>
  </si>
  <si>
    <t>Số ngày đề nghị thực hiện</t>
  </si>
  <si>
    <t>Định mức theo Nghị định số 349/2025/NĐ-CP ngày 30/12/2025 của Chính phủ</t>
  </si>
  <si>
    <t>Kinh phí đề nghị áp dụng theo tỷ lệ % định mức tại Nghị định số 349/2025/NĐ-CP ngày 30/12/2025 của Chính phủ (tỷ lệ 70%)</t>
  </si>
  <si>
    <t>Kinh phí  thực hiện (nghìn đồng/ người/ngày)</t>
  </si>
  <si>
    <t>Vận động viên</t>
  </si>
  <si>
    <t>Không quy định</t>
  </si>
  <si>
    <t>Huấn luyện viên</t>
  </si>
  <si>
    <t>Chế độ dinh dưỡng</t>
  </si>
  <si>
    <t>Chế độ dinh dưỡng trong thời gian tập trung tập huấn</t>
  </si>
  <si>
    <t>1.1</t>
  </si>
  <si>
    <t>1.2</t>
  </si>
  <si>
    <t>Chế độ dinh dưỡng trong thời gian thi đấu</t>
  </si>
  <si>
    <t>Tổng cộng I+II</t>
  </si>
  <si>
    <t xml:space="preserve">                                                                                                                                                                             Đơn vị tính: VNĐ</t>
  </si>
  <si>
    <t>MÔN THI,                   GIẢI THI ĐẤU</t>
  </si>
  <si>
    <t>Tổng số huy chương</t>
  </si>
  <si>
    <t>Chế độ khen thưởng đang thực hiện theo quy định</t>
  </si>
  <si>
    <t>Định mức dự thảo Nghị quyết đang xây dựng</t>
  </si>
  <si>
    <t>HCB</t>
  </si>
  <si>
    <t xml:space="preserve">Các giải thi đấu thể thao quần chúng Quốc gia </t>
  </si>
  <si>
    <t>Chưa quy định</t>
  </si>
  <si>
    <t xml:space="preserve">Tổng cộng </t>
  </si>
  <si>
    <t>Dự kiến kinh phí để thực hiện mức thưởng cho huấn luyện viên, vận động viên    
đội tuyển thể thao quần chúng thành phố lập thành tích tại các giải thi đấu Quốc gia</t>
  </si>
  <si>
    <t>Dự kiến kinh phí mức thưởng cho huấn luyện viên, vận động viên lập thành tích tại các giải thể thao Quốc gia, Quốc tế dành cho Người khuyết tật</t>
  </si>
  <si>
    <t xml:space="preserve">Chế độ đang thực hiện  (Nghị quyết số 12/2023/NQ-HĐND, NQ số 24/2024/NQ-HĐND)   </t>
  </si>
  <si>
    <t xml:space="preserve">Định mức dự thảo Nghị quyết đang xây dựng (Kế thừa NQ số 12/2023/NQ-HĐND, NQ số 24/2024/NQ-HĐND </t>
  </si>
  <si>
    <t>Các giải thi đấu thể thao Quốc gia dành cho Người khuyết tật</t>
  </si>
  <si>
    <t>Giải thi đấu thể thao Quốc tế dành cho Người khuyết tật</t>
  </si>
  <si>
    <t>Đại hội thể thao Người Khuyết tật Đông Nam Á</t>
  </si>
  <si>
    <t>HCV: 75.000.000 HCB: 35.000.000                  HCĐ: 25.000.000</t>
  </si>
  <si>
    <t>Đại hội thể thao Người Khuyết tật Châu Á</t>
  </si>
  <si>
    <t>HCV: 100.000.000 HCB: 70.000.000 HCĐ: 40.000.000</t>
  </si>
  <si>
    <t>Tổng cộng I + II</t>
  </si>
  <si>
    <t>Đại hội TDTT cấp thành phố</t>
  </si>
  <si>
    <t>Giải thi đấu thể thao cấp thành phố</t>
  </si>
  <si>
    <t>Giải thi đấu thể thao từng môn, Giải thể thao người khuyết tậi, Hội thi thể thao quần chúng cấp thành phố</t>
  </si>
  <si>
    <t>Giải thi đấu thể thao hệ thống trẻ cấp thành phố</t>
  </si>
  <si>
    <t xml:space="preserve">Dự kiến kinh phí để thực hiện mức thưởng cho huấn luyện viên, vận động viên                                                                                                                                               
lập thành tích tại Đại hội thể dục thể thao, các giải thi đấu thể thao thành phố </t>
  </si>
  <si>
    <t>Môn thi</t>
  </si>
  <si>
    <t>Số lượng tham dự</t>
  </si>
  <si>
    <t>Số lượng HLV, VĐV</t>
  </si>
  <si>
    <t>Giải Cờ tướng trung cao tuổi toàn quốc</t>
  </si>
  <si>
    <t>Giải Khiêu vũ giải trí và dân vũ toàn quốc</t>
  </si>
  <si>
    <t>Giải Gia đình thể thao toàn quốc</t>
  </si>
  <si>
    <t>Giải Cầu lông trung cao tuổi toàn quốc</t>
  </si>
  <si>
    <t>Giải Bơi trung cao tuổi toàn quốc</t>
  </si>
  <si>
    <t xml:space="preserve">BẢNG DỰ KIẾN SỐ LƯỢNG MÔN THỂ THAO QUẦN CHÚNG THAM DỰ GIẢI TOÀN QUỐC </t>
  </si>
  <si>
    <t>BẢNG DỰ KIẾN SỐ LƯỢNG HUY CHƯƠNG ĐẠT ĐƯỢC 
TẠI CÁC GIẢI THỂ THAO QUẦN CHÚNG TOÀN QUỐC</t>
  </si>
  <si>
    <t>Số lượng huy chương</t>
  </si>
  <si>
    <t>BẢNG DỰ KIẾN SỐ LƯỢNG HUY CHƯƠNG KHEN THƯỞNG</t>
  </si>
  <si>
    <t>CÁC GIẢI THỂ THAO CẤP THÀNH PHỐ</t>
  </si>
  <si>
    <t>TÊN CÁC GIẢI ĐẤU</t>
  </si>
  <si>
    <t>Số lượng</t>
  </si>
  <si>
    <t>HỆ THỐNG GIẢI TRẺ</t>
  </si>
  <si>
    <t>Giải Bóng bàn trẻ  thiếu niên, nhi đồng</t>
  </si>
  <si>
    <t xml:space="preserve">Giải Bóng đá Hoa phượng </t>
  </si>
  <si>
    <t>Giải Bơi thiếu niên nhi đồng, Bơi cứu đuối phòng chống tai nạn thương tích cho trẻ em</t>
  </si>
  <si>
    <t>Giải Cờ vua trẻ</t>
  </si>
  <si>
    <t>HỆ THỐNG GIẢI THÀNH PHỐ</t>
  </si>
  <si>
    <t>Giải Vô địch Bóng đá các CLB Hải Phòng</t>
  </si>
  <si>
    <t>Giải quần vợt CLB Hải Phòng</t>
  </si>
  <si>
    <t>Giải Ngày Thể thao Việt Nam 27/3</t>
  </si>
  <si>
    <t>Giải Vô địch Cầu lông các CLB Hải Phòng</t>
  </si>
  <si>
    <t>Thể thao người khuyết tật</t>
  </si>
  <si>
    <t>Giải Bóng chuyền hơi</t>
  </si>
  <si>
    <t>Giải thể hình</t>
  </si>
  <si>
    <t>Giải Vật tự do</t>
  </si>
  <si>
    <t>BẢNG DỰ KIẾN SỐ LƯỢNG HUY CHƯƠNG ĐẠT ĐƯỢC 
TẠI CÁC GIẢI THỂ THAO QUỐC GIA, QUỐC TẾ GIÀNH CHO NGƯỜI KHUYẾT TẬT</t>
  </si>
  <si>
    <t>Giải Thể thao Quốc gia</t>
  </si>
  <si>
    <t>Giải Vô địch quốc gia các môn Cầu lông, bóng bàn người khuyết tật</t>
  </si>
  <si>
    <t>Giải Vô địch quốc gia các môn Điền kinh, Bơi, Pickleball người khuyết tật</t>
  </si>
  <si>
    <t>Giải thể thao Quốc tế</t>
  </si>
  <si>
    <t>Đại hội Thể thao khuyết tật Đông Nam Á</t>
  </si>
  <si>
    <t>Đại hội Thể thao Người khuyết tật Châu Á</t>
  </si>
  <si>
    <t>Chi chính sách đặc thù:</t>
  </si>
  <si>
    <t>Chi đãi ngộ VĐV đạt huy chương bạc SEA Games</t>
  </si>
  <si>
    <t>Chi đãi ngộ VĐV đạt huy chương đồng SEA Games</t>
  </si>
  <si>
    <t>Chi đãi ngộ VĐV đạt huy chương bạc Asiad</t>
  </si>
  <si>
    <t>Chi đãi ngộ VĐV đạt huy chương đồng Asiad</t>
  </si>
  <si>
    <t>Giải Pickleball các Câu lạc bộ thành phố</t>
  </si>
  <si>
    <t xml:space="preserve">Giải Vô địch Bóng chuyền hơi </t>
  </si>
  <si>
    <t>Giải Marathon thành phố</t>
  </si>
  <si>
    <t>Toàn đoàn</t>
  </si>
  <si>
    <t>Tổng cộng I + II +III</t>
  </si>
  <si>
    <t>Tổng số huy chương/giải</t>
  </si>
  <si>
    <t>ĐẠI HỘI TDTT THÀNH PHỐ</t>
  </si>
  <si>
    <t>Bóng đá</t>
  </si>
  <si>
    <t>Cầu lông</t>
  </si>
  <si>
    <t>Bóng bàn</t>
  </si>
  <si>
    <t>Pencaksila</t>
  </si>
  <si>
    <t>Việt Dã</t>
  </si>
  <si>
    <t>Điền kinh trong sân</t>
  </si>
  <si>
    <t>Taekwondo</t>
  </si>
  <si>
    <t>Cờ vua</t>
  </si>
  <si>
    <t>Cờ tướng</t>
  </si>
  <si>
    <t>Dân vũ</t>
  </si>
  <si>
    <t>Karate</t>
  </si>
  <si>
    <t>Đua thuyền</t>
  </si>
  <si>
    <t>Bơi</t>
  </si>
  <si>
    <t>Bóng chuyền hơi</t>
  </si>
  <si>
    <t>Bóng chuyền</t>
  </si>
  <si>
    <t>Vật tự do</t>
  </si>
  <si>
    <t>Đá cầu</t>
  </si>
  <si>
    <t>Thể dục thể hình</t>
  </si>
  <si>
    <t>Thể dục Aerobic</t>
  </si>
  <si>
    <t>Kéo co:</t>
  </si>
  <si>
    <t>Quần vợt</t>
  </si>
  <si>
    <t>Marathon</t>
  </si>
  <si>
    <t>Golf:</t>
  </si>
  <si>
    <t>Dự phòng</t>
  </si>
  <si>
    <t>Võ Cổ truyền</t>
  </si>
  <si>
    <t>Bóng chuyền trẻ</t>
  </si>
  <si>
    <t>HCV: 35.000.000 HCB: 20.000.000 HCĐ: 15.000.000</t>
  </si>
  <si>
    <t>Bằng chữ: Bảy tỷ, bảy trăm bốn mươi triệu đồng./.</t>
  </si>
  <si>
    <t>Bằng chữ: Năm mươi lăm tỷ, một trăm bảy mươi mốt triệu đồng./.</t>
  </si>
  <si>
    <t>Bằng chữ: Sáu mươi mốt tỷ, tám trăm tám mươi tám triệu đồng./.</t>
  </si>
  <si>
    <t>Bằng chữ: Bảy mươi ba tỷ, tám trăm tám mưới chín triệu đồng.</t>
  </si>
  <si>
    <t>Bằng chữ: Bảy mươi sáu tỷ, ba trăm linh sáu triệu đồng.</t>
  </si>
  <si>
    <t>Bằng chữ: Tám mươi tám tỷ, chín trăm linh hai triệu đồng.</t>
  </si>
  <si>
    <t>PHỤ LỤC 4</t>
  </si>
  <si>
    <t>Dinh dưỡng đội tuyển thể thao quần chúng</t>
  </si>
  <si>
    <t>PHỤ LỤC 4.1</t>
  </si>
  <si>
    <t>PHỤ LỤC 4.1.1</t>
  </si>
  <si>
    <t>PHỤ LỤC 4.2</t>
  </si>
  <si>
    <t>PHỤ LỤC 4.2.1</t>
  </si>
  <si>
    <t>PHỤ LỤC 4.3</t>
  </si>
  <si>
    <t>PHỤ LỤC 4.3.1</t>
  </si>
  <si>
    <t>PHỤ LỤC 4.4</t>
  </si>
  <si>
    <t>PHỤ LỤC 4.4.1</t>
  </si>
  <si>
    <t>PHỤ LỤC 4.5</t>
  </si>
  <si>
    <t xml:space="preserve">                    PHỤ LỤC 4.5.1</t>
  </si>
  <si>
    <t xml:space="preserve">                                                 PHỤ LỤC 4.5.1.1</t>
  </si>
  <si>
    <t xml:space="preserve">                                                                                                                   PHỤ LỤC 4.5.1.2</t>
  </si>
  <si>
    <t>PHỤ LỤC 4.5.2</t>
  </si>
  <si>
    <t>PHỤ LỤC 4.6</t>
  </si>
  <si>
    <t>Phụ lục 4.1, 4.1.1</t>
  </si>
  <si>
    <t>Phụ lục 4.2, 4.2.1</t>
  </si>
  <si>
    <t>Phụ lục 4.3, 4.3.1</t>
  </si>
  <si>
    <t>Phụ lục 4.4</t>
  </si>
  <si>
    <t>Phụ lục 4.5</t>
  </si>
  <si>
    <t>Phụ lục 4.5.1</t>
  </si>
  <si>
    <t>Phụ lục 4.5.2</t>
  </si>
  <si>
    <t>Phụ lục 4.6                (Chi hàng năm)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</si>
</sst>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8">
    <font>
      <sz val="11"/>
      <color theme="1"/>
      <name val="Calibri"/>
      <family val="2"/>
      <charset val="163"/>
      <scheme val="minor"/>
    </font>
    <font>
      <sz val="14"/>
      <color theme="1"/>
      <name val="Times New Roman"/>
      <family val="1"/>
    </font>
    <font>
      <sz val="12"/>
      <color theme="1"/>
      <name val="Times New Roman"/>
      <family val="2"/>
      <charset val="163"/>
    </font>
    <font>
      <b/>
      <sz val="13"/>
      <color theme="1"/>
      <name val="Times New Roman"/>
      <family val="1"/>
    </font>
    <font>
      <b/>
      <sz val="12"/>
      <color theme="1"/>
      <name val="Times New Roman"/>
      <family val="1"/>
    </font>
    <font>
      <sz val="12"/>
      <color theme="1"/>
      <name val="Times New Roman"/>
      <family val="1"/>
    </font>
    <font>
      <b/>
      <i/>
      <sz val="12"/>
      <color theme="1"/>
      <name val="Times New Roman"/>
      <family val="1"/>
    </font>
    <font>
      <sz val="13"/>
      <color theme="1"/>
      <name val="Times New Roman"/>
      <family val="2"/>
      <charset val="163"/>
    </font>
    <font>
      <sz val="11"/>
      <color theme="1"/>
      <name val="Calibri"/>
      <family val="2"/>
      <scheme val="minor"/>
    </font>
    <font>
      <b/>
      <sz val="14"/>
      <color theme="1"/>
      <name val="Times New Roman"/>
      <family val="1"/>
    </font>
    <font>
      <i/>
      <sz val="10"/>
      <color theme="1"/>
      <name val="Times New Roman"/>
      <family val="1"/>
    </font>
    <font>
      <b/>
      <i/>
      <sz val="14"/>
      <color theme="1"/>
      <name val="Times New Roman"/>
      <family val="1"/>
    </font>
    <font>
      <b/>
      <i/>
      <sz val="13"/>
      <color theme="1"/>
      <name val="Times New Roman"/>
      <family val="1"/>
    </font>
    <font>
      <b/>
      <sz val="14"/>
      <color rgb="FFFF0000"/>
      <name val="Times New Roman"/>
      <family val="1"/>
    </font>
    <font>
      <b/>
      <sz val="13"/>
      <color rgb="FFFF0000"/>
      <name val="Times New Roman"/>
      <family val="1"/>
    </font>
    <font>
      <i/>
      <sz val="14"/>
      <color theme="1"/>
      <name val="Times New Roman"/>
      <family val="1"/>
    </font>
    <font>
      <b/>
      <sz val="14"/>
      <color rgb="FFC00000"/>
      <name val="Times New Roman"/>
      <family val="1"/>
    </font>
    <font>
      <sz val="12"/>
      <color indexed="8"/>
      <name val="Times New Roman"/>
      <family val="1"/>
    </font>
    <font>
      <b/>
      <sz val="12"/>
      <color indexed="8"/>
      <name val="Times New Roman"/>
      <family val="1"/>
    </font>
    <font>
      <sz val="11"/>
      <color indexed="8"/>
      <name val="Times New Roman"/>
      <family val="1"/>
    </font>
    <font>
      <b/>
      <i/>
      <sz val="12"/>
      <color indexed="10"/>
      <name val="Times New Roman"/>
      <family val="1"/>
    </font>
    <font>
      <b/>
      <i/>
      <sz val="12"/>
      <color indexed="62"/>
      <name val="Times New Roman"/>
      <family val="1"/>
    </font>
    <font>
      <sz val="10"/>
      <color indexed="8"/>
      <name val="Times New Roman"/>
      <family val="1"/>
    </font>
    <font>
      <b/>
      <sz val="11"/>
      <color indexed="12"/>
      <name val="Times New Roman"/>
      <family val="1"/>
    </font>
    <font>
      <b/>
      <sz val="11"/>
      <color indexed="8"/>
      <name val="Times New Roman"/>
      <family val="1"/>
    </font>
    <font>
      <sz val="11"/>
      <color indexed="12"/>
      <name val="Times New Roman"/>
      <family val="1"/>
    </font>
    <font>
      <sz val="11"/>
      <color indexed="10"/>
      <name val="Times New Roman"/>
      <family val="1"/>
    </font>
    <font>
      <sz val="11"/>
      <color indexed="8"/>
      <name val="Calibri"/>
      <family val="2"/>
    </font>
    <font>
      <b/>
      <sz val="8"/>
      <color indexed="8"/>
      <name val="Times New Roman"/>
      <family val="1"/>
    </font>
    <font>
      <b/>
      <sz val="10"/>
      <color indexed="8"/>
      <name val="Times New Roman"/>
      <family val="1"/>
    </font>
    <font>
      <sz val="8"/>
      <color indexed="8"/>
      <name val="Times New Roman"/>
      <family val="1"/>
    </font>
    <font>
      <b/>
      <i/>
      <sz val="10"/>
      <color theme="1"/>
      <name val="Times New Roman"/>
      <family val="1"/>
    </font>
    <font>
      <sz val="10"/>
      <color theme="1"/>
      <name val="Times New Roman"/>
      <family val="1"/>
    </font>
    <font>
      <b/>
      <sz val="10"/>
      <color theme="1"/>
      <name val="Times New Roman"/>
      <family val="1"/>
    </font>
    <font>
      <b/>
      <sz val="10"/>
      <color rgb="FFFF0000"/>
      <name val="Times New Roman"/>
      <family val="1"/>
    </font>
    <font>
      <sz val="8"/>
      <color theme="1"/>
      <name val="Times New Roman"/>
      <family val="1"/>
    </font>
    <font>
      <sz val="10"/>
      <color rgb="FFFF0000"/>
      <name val="Times New Roman"/>
      <family val="1"/>
    </font>
    <font>
      <i/>
      <sz val="10"/>
      <color indexed="8"/>
      <name val="Times New Roman"/>
      <family val="1"/>
    </font>
    <font>
      <b/>
      <i/>
      <sz val="10"/>
      <color indexed="8"/>
      <name val="Times New Roman"/>
      <family val="1"/>
    </font>
    <font>
      <b/>
      <sz val="9"/>
      <color indexed="81"/>
      <name val="Tahoma"/>
      <family val="2"/>
    </font>
    <font>
      <sz val="9"/>
      <color indexed="81"/>
      <name val="Tahoma"/>
      <family val="2"/>
    </font>
    <font>
      <i/>
      <sz val="10"/>
      <color rgb="FFFF0000"/>
      <name val="Times New Roman"/>
      <family val="1"/>
    </font>
    <font>
      <b/>
      <sz val="9"/>
      <color theme="1"/>
      <name val="Times New Roman"/>
      <family val="1"/>
    </font>
    <font>
      <i/>
      <sz val="9"/>
      <color theme="1"/>
      <name val="Times New Roman"/>
      <family val="1"/>
    </font>
    <font>
      <i/>
      <sz val="8"/>
      <color theme="1"/>
      <name val="Times New Roman"/>
      <family val="1"/>
    </font>
    <font>
      <i/>
      <sz val="9"/>
      <color indexed="8"/>
      <name val="Times New Roman"/>
      <family val="1"/>
    </font>
    <font>
      <b/>
      <sz val="9"/>
      <color rgb="FFFF0000"/>
      <name val="Times New Roman"/>
      <family val="1"/>
    </font>
    <font>
      <b/>
      <i/>
      <sz val="9"/>
      <color indexed="8"/>
      <name val="Times New Roman"/>
      <family val="1"/>
    </font>
    <font>
      <i/>
      <sz val="10"/>
      <color rgb="FF000000"/>
      <name val="Times New Roman"/>
      <family val="1"/>
    </font>
    <font>
      <i/>
      <sz val="8"/>
      <color indexed="8"/>
      <name val="Times New Roman"/>
      <family val="1"/>
    </font>
    <font>
      <b/>
      <i/>
      <sz val="11"/>
      <color indexed="8"/>
      <name val="Times New Roman"/>
      <family val="1"/>
    </font>
    <font>
      <sz val="12"/>
      <name val="Times New Roman"/>
      <family val="1"/>
    </font>
    <font>
      <b/>
      <sz val="14"/>
      <name val="Times New Roman"/>
      <family val="1"/>
    </font>
    <font>
      <sz val="14"/>
      <name val="Times New Roman"/>
      <family val="1"/>
    </font>
    <font>
      <b/>
      <sz val="8"/>
      <color rgb="FFFF0000"/>
      <name val="Times New Roman"/>
      <family val="1"/>
    </font>
    <font>
      <b/>
      <sz val="14.5"/>
      <color theme="1"/>
      <name val="Times New Roman"/>
      <family val="1"/>
    </font>
    <font>
      <sz val="14"/>
      <color theme="1"/>
      <name val="Calibri Light"/>
      <family val="1"/>
      <scheme val="major"/>
    </font>
    <font>
      <sz val="13"/>
      <color theme="1"/>
      <name val="Times New Roman"/>
      <family val="1"/>
    </font>
    <font>
      <b/>
      <sz val="14"/>
      <color theme="1"/>
      <name val="Calibri Light"/>
      <family val="1"/>
      <scheme val="major"/>
    </font>
    <font>
      <sz val="14"/>
      <color theme="1"/>
      <name val="Times New Roman"/>
      <family val="1"/>
      <charset val="163"/>
    </font>
    <font>
      <sz val="14"/>
      <color theme="1"/>
      <name val=".VnTime"/>
      <family val="2"/>
      <charset val="163"/>
    </font>
    <font>
      <b/>
      <sz val="13.5"/>
      <color theme="1"/>
      <name val="Times New Roman"/>
      <family val="1"/>
    </font>
    <font>
      <b/>
      <sz val="13"/>
      <color rgb="FF000000"/>
      <name val="Times New Roman"/>
      <family val="1"/>
    </font>
    <font>
      <sz val="13"/>
      <color rgb="FF000000"/>
      <name val="Times New Roman"/>
      <family val="1"/>
    </font>
    <font>
      <b/>
      <i/>
      <sz val="13"/>
      <color rgb="FF000000"/>
      <name val="Times New Roman"/>
      <family val="1"/>
    </font>
    <font>
      <i/>
      <sz val="12"/>
      <color theme="1"/>
      <name val="Times New Roman"/>
      <family val="1"/>
    </font>
    <font>
      <sz val="11"/>
      <color theme="1"/>
      <name val="Times New Roman"/>
      <family val="1"/>
    </font>
    <font>
      <sz val="12"/>
      <color rgb="FFEE0000"/>
      <name val="Times New Roman"/>
      <family val="1"/>
    </font>
  </fonts>
  <fills count="8">
    <fill>
      <patternFill patternType="none"/>
    </fill>
    <fill>
      <patternFill patternType="gray125"/>
    </fill>
    <fill>
      <patternFill patternType="solid">
        <fgColor indexed="9"/>
        <bgColor indexed="9"/>
      </patternFill>
    </fill>
    <fill>
      <patternFill patternType="solid">
        <fgColor indexed="52"/>
        <bgColor indexed="52"/>
      </patternFill>
    </fill>
    <fill>
      <patternFill patternType="solid">
        <fgColor indexed="27"/>
        <bgColor indexed="27"/>
      </patternFill>
    </fill>
    <fill>
      <patternFill patternType="solid">
        <fgColor indexed="47"/>
        <bgColor indexed="47"/>
      </patternFill>
    </fill>
    <fill>
      <patternFill patternType="solid">
        <fgColor indexed="45"/>
        <bgColor indexed="45"/>
      </patternFill>
    </fill>
    <fill>
      <patternFill patternType="solid">
        <fgColor indexed="42"/>
        <bgColor indexed="42"/>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s>
  <cellStyleXfs count="4">
    <xf numFmtId="0" fontId="0" fillId="0" borderId="0"/>
    <xf numFmtId="0" fontId="2" fillId="0" borderId="0"/>
    <xf numFmtId="0" fontId="8" fillId="0" borderId="0"/>
    <xf numFmtId="43" fontId="27" fillId="0" borderId="0" applyFont="0" applyFill="0" applyBorder="0" applyAlignment="0" applyProtection="0"/>
  </cellStyleXfs>
  <cellXfs count="445">
    <xf numFmtId="0" fontId="0" fillId="0" borderId="0" xfId="0"/>
    <xf numFmtId="0" fontId="1" fillId="0" borderId="0" xfId="0" applyFont="1"/>
    <xf numFmtId="0" fontId="2" fillId="0" borderId="0" xfId="1"/>
    <xf numFmtId="0" fontId="4" fillId="0" borderId="1" xfId="1" applyFont="1" applyBorder="1" applyAlignment="1">
      <alignment horizontal="center" vertical="center"/>
    </xf>
    <xf numFmtId="0" fontId="2" fillId="0" borderId="0" xfId="1" applyAlignment="1">
      <alignment vertical="center"/>
    </xf>
    <xf numFmtId="0" fontId="5" fillId="0" borderId="1" xfId="1" applyFont="1" applyBorder="1" applyAlignment="1">
      <alignment vertical="center" shrinkToFit="1"/>
    </xf>
    <xf numFmtId="0" fontId="5" fillId="0" borderId="1" xfId="1" applyFont="1" applyBorder="1" applyAlignment="1">
      <alignment horizontal="center" vertical="center"/>
    </xf>
    <xf numFmtId="3"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0" fontId="4" fillId="0" borderId="1" xfId="1" applyFont="1" applyBorder="1" applyAlignment="1">
      <alignment vertical="center" shrinkToFit="1"/>
    </xf>
    <xf numFmtId="3" fontId="4" fillId="0" borderId="1" xfId="1" applyNumberFormat="1" applyFont="1" applyBorder="1" applyAlignment="1">
      <alignment horizontal="center" vertical="center"/>
    </xf>
    <xf numFmtId="0" fontId="5" fillId="0" borderId="5" xfId="1" applyFont="1" applyBorder="1" applyAlignment="1">
      <alignment horizontal="center" vertical="center" wrapText="1"/>
    </xf>
    <xf numFmtId="0" fontId="4" fillId="0" borderId="5" xfId="1" applyFont="1" applyBorder="1" applyAlignment="1">
      <alignment vertical="center"/>
    </xf>
    <xf numFmtId="0" fontId="6" fillId="0" borderId="0" xfId="1" applyFont="1" applyAlignment="1">
      <alignment vertical="center"/>
    </xf>
    <xf numFmtId="3" fontId="4" fillId="0" borderId="5" xfId="1" applyNumberFormat="1" applyFont="1" applyBorder="1" applyAlignment="1">
      <alignment vertical="center"/>
    </xf>
    <xf numFmtId="0" fontId="5" fillId="0" borderId="9" xfId="1" applyFont="1" applyBorder="1" applyAlignment="1">
      <alignment horizontal="center" vertical="center" wrapText="1"/>
    </xf>
    <xf numFmtId="0" fontId="5" fillId="0" borderId="9" xfId="1" applyFont="1" applyBorder="1" applyAlignment="1">
      <alignment vertical="center" shrinkToFit="1"/>
    </xf>
    <xf numFmtId="0" fontId="5" fillId="0" borderId="9" xfId="1" applyFont="1" applyBorder="1" applyAlignment="1">
      <alignment horizontal="center" vertical="center"/>
    </xf>
    <xf numFmtId="3" fontId="5" fillId="0" borderId="9" xfId="1" applyNumberFormat="1" applyFont="1" applyBorder="1" applyAlignment="1">
      <alignment horizontal="center" vertical="center"/>
    </xf>
    <xf numFmtId="0" fontId="5" fillId="0" borderId="1" xfId="1" applyFont="1" applyBorder="1" applyAlignment="1">
      <alignment vertical="center"/>
    </xf>
    <xf numFmtId="0" fontId="4" fillId="0" borderId="1" xfId="1" applyFont="1" applyBorder="1" applyAlignment="1">
      <alignment vertical="center"/>
    </xf>
    <xf numFmtId="0" fontId="1" fillId="0" borderId="0" xfId="2" applyFont="1"/>
    <xf numFmtId="0" fontId="1" fillId="0" borderId="0" xfId="2" applyFont="1" applyAlignment="1">
      <alignment horizontal="center" vertical="center"/>
    </xf>
    <xf numFmtId="0" fontId="1" fillId="0" borderId="0" xfId="2" applyFont="1" applyAlignment="1">
      <alignment horizontal="right" vertical="center"/>
    </xf>
    <xf numFmtId="0" fontId="4" fillId="0" borderId="1" xfId="2" applyFont="1" applyBorder="1" applyAlignment="1">
      <alignment horizontal="center" vertical="center" wrapText="1"/>
    </xf>
    <xf numFmtId="0" fontId="5" fillId="0" borderId="1" xfId="2" applyFont="1" applyBorder="1" applyAlignment="1">
      <alignment horizontal="center" vertical="center"/>
    </xf>
    <xf numFmtId="0" fontId="5" fillId="0" borderId="1" xfId="2" applyFont="1" applyBorder="1" applyAlignment="1">
      <alignment vertical="center" shrinkToFit="1"/>
    </xf>
    <xf numFmtId="0" fontId="5" fillId="0" borderId="1" xfId="2" applyFont="1" applyBorder="1" applyAlignment="1">
      <alignment horizontal="right" vertical="center"/>
    </xf>
    <xf numFmtId="3" fontId="5" fillId="0" borderId="1" xfId="2" applyNumberFormat="1" applyFont="1" applyBorder="1" applyAlignment="1">
      <alignment vertical="center"/>
    </xf>
    <xf numFmtId="0" fontId="5" fillId="0" borderId="1" xfId="2" applyFont="1" applyBorder="1" applyAlignment="1">
      <alignment vertical="center"/>
    </xf>
    <xf numFmtId="0" fontId="4" fillId="0" borderId="1" xfId="2" applyFont="1" applyBorder="1" applyAlignment="1">
      <alignment vertical="center" shrinkToFit="1"/>
    </xf>
    <xf numFmtId="3" fontId="4" fillId="0" borderId="1" xfId="2" applyNumberFormat="1" applyFont="1" applyBorder="1" applyAlignment="1">
      <alignment horizontal="center" vertical="center"/>
    </xf>
    <xf numFmtId="3" fontId="4" fillId="0" borderId="1" xfId="2" applyNumberFormat="1" applyFont="1" applyBorder="1" applyAlignment="1">
      <alignment vertical="center"/>
    </xf>
    <xf numFmtId="0" fontId="9" fillId="0" borderId="1" xfId="2" applyFont="1" applyBorder="1" applyAlignment="1">
      <alignment horizontal="center" vertical="center"/>
    </xf>
    <xf numFmtId="0" fontId="9" fillId="0" borderId="1" xfId="2" applyFont="1" applyBorder="1" applyAlignment="1">
      <alignment horizontal="right" vertical="center"/>
    </xf>
    <xf numFmtId="0" fontId="9" fillId="0" borderId="0" xfId="2" applyFont="1" applyAlignment="1">
      <alignment horizontal="center"/>
    </xf>
    <xf numFmtId="0" fontId="9" fillId="0" borderId="0" xfId="2" applyFont="1" applyAlignment="1">
      <alignment horizontal="right"/>
    </xf>
    <xf numFmtId="0" fontId="5" fillId="0" borderId="1" xfId="2" applyFont="1" applyBorder="1" applyAlignment="1">
      <alignment vertical="center" wrapText="1"/>
    </xf>
    <xf numFmtId="0" fontId="9" fillId="0" borderId="1" xfId="0" applyFont="1" applyBorder="1" applyAlignment="1">
      <alignment vertical="center"/>
    </xf>
    <xf numFmtId="0" fontId="1" fillId="0" borderId="1" xfId="0" applyFont="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0" xfId="0" applyFont="1" applyAlignment="1">
      <alignment horizontal="centerContinuous" vertical="center" wrapText="1"/>
    </xf>
    <xf numFmtId="0" fontId="1" fillId="0" borderId="0" xfId="0" applyFont="1" applyAlignment="1">
      <alignment horizontal="centerContinuous"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3" fontId="1" fillId="0" borderId="1" xfId="0" applyNumberFormat="1" applyFont="1" applyBorder="1" applyAlignment="1">
      <alignment horizontal="right" vertical="center"/>
    </xf>
    <xf numFmtId="3" fontId="9" fillId="0" borderId="1" xfId="0" applyNumberFormat="1" applyFont="1" applyBorder="1" applyAlignment="1">
      <alignment horizontal="right" vertical="center"/>
    </xf>
    <xf numFmtId="0" fontId="9" fillId="0" borderId="9" xfId="0" applyFont="1" applyBorder="1" applyAlignment="1">
      <alignment vertical="center"/>
    </xf>
    <xf numFmtId="0" fontId="9" fillId="0" borderId="0" xfId="0" applyFont="1" applyAlignment="1">
      <alignment horizontal="centerContinuous" vertical="center"/>
    </xf>
    <xf numFmtId="0" fontId="9" fillId="0" borderId="0" xfId="0" applyFont="1" applyAlignment="1">
      <alignment horizontal="centerContinuous" wrapText="1"/>
    </xf>
    <xf numFmtId="0" fontId="1" fillId="0" borderId="0" xfId="0" applyFont="1" applyAlignment="1">
      <alignment horizontal="centerContinuous"/>
    </xf>
    <xf numFmtId="0" fontId="1" fillId="0" borderId="1" xfId="0" applyFont="1" applyBorder="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 fillId="0" borderId="1" xfId="0" applyFont="1" applyBorder="1" applyAlignment="1">
      <alignment horizontal="justify" wrapText="1"/>
    </xf>
    <xf numFmtId="3" fontId="9" fillId="0" borderId="1" xfId="0" applyNumberFormat="1" applyFont="1" applyBorder="1" applyAlignment="1">
      <alignment horizontal="right"/>
    </xf>
    <xf numFmtId="0" fontId="11" fillId="0" borderId="0" xfId="0" applyFont="1" applyAlignment="1">
      <alignment horizontal="centerContinuous"/>
    </xf>
    <xf numFmtId="0" fontId="1" fillId="0" borderId="0" xfId="0" applyFont="1" applyAlignment="1">
      <alignment horizontal="center"/>
    </xf>
    <xf numFmtId="0" fontId="1" fillId="0" borderId="1" xfId="0" applyFont="1" applyBorder="1" applyAlignment="1">
      <alignment horizontal="justify" vertical="center" wrapText="1"/>
    </xf>
    <xf numFmtId="3" fontId="5" fillId="0" borderId="1" xfId="1" applyNumberFormat="1" applyFont="1" applyBorder="1" applyAlignment="1">
      <alignment horizontal="center" vertical="center" wrapText="1"/>
    </xf>
    <xf numFmtId="3" fontId="13" fillId="0" borderId="1" xfId="2" applyNumberFormat="1" applyFont="1" applyBorder="1"/>
    <xf numFmtId="0" fontId="3" fillId="0" borderId="1" xfId="2" applyFont="1" applyBorder="1" applyAlignment="1">
      <alignment horizontal="center" vertical="center"/>
    </xf>
    <xf numFmtId="0" fontId="3" fillId="0" borderId="1" xfId="2" applyFont="1" applyBorder="1" applyAlignment="1">
      <alignment horizontal="right" vertical="center"/>
    </xf>
    <xf numFmtId="3" fontId="14" fillId="0" borderId="1" xfId="2" applyNumberFormat="1" applyFont="1" applyBorder="1"/>
    <xf numFmtId="0" fontId="9" fillId="0" borderId="2" xfId="0" applyFont="1" applyBorder="1" applyAlignment="1">
      <alignment horizontal="left" vertical="center" wrapText="1"/>
    </xf>
    <xf numFmtId="3" fontId="16" fillId="0" borderId="1" xfId="0" applyNumberFormat="1" applyFont="1" applyBorder="1" applyAlignment="1">
      <alignment horizontal="right" vertical="center" wrapText="1"/>
    </xf>
    <xf numFmtId="0" fontId="11" fillId="0" borderId="1" xfId="0" applyFont="1" applyBorder="1" applyAlignment="1">
      <alignment horizontal="center" vertical="center"/>
    </xf>
    <xf numFmtId="0" fontId="11" fillId="0" borderId="2" xfId="0" applyFont="1" applyBorder="1" applyAlignment="1">
      <alignment vertical="center"/>
    </xf>
    <xf numFmtId="3" fontId="11" fillId="0" borderId="1" xfId="0" applyNumberFormat="1" applyFont="1" applyBorder="1" applyAlignment="1">
      <alignment vertical="center"/>
    </xf>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 fillId="0" borderId="1" xfId="0" applyFont="1" applyBorder="1" applyAlignment="1">
      <alignment horizontal="left" vertical="center"/>
    </xf>
    <xf numFmtId="0" fontId="9" fillId="0" borderId="1" xfId="0" applyFont="1" applyBorder="1" applyAlignment="1">
      <alignment horizontal="left" vertical="center"/>
    </xf>
    <xf numFmtId="0" fontId="15" fillId="0" borderId="1" xfId="0" applyFont="1" applyBorder="1" applyAlignment="1">
      <alignment horizontal="center" vertical="center"/>
    </xf>
    <xf numFmtId="3" fontId="16" fillId="0" borderId="1" xfId="0" applyNumberFormat="1" applyFont="1" applyBorder="1" applyAlignment="1">
      <alignment horizontal="right" vertical="center"/>
    </xf>
    <xf numFmtId="3" fontId="16" fillId="0" borderId="1" xfId="0" applyNumberFormat="1" applyFont="1" applyBorder="1" applyAlignment="1">
      <alignment vertical="center"/>
    </xf>
    <xf numFmtId="3" fontId="1" fillId="0" borderId="1" xfId="0" applyNumberFormat="1" applyFont="1" applyBorder="1" applyAlignment="1">
      <alignment horizontal="right" vertical="center" wrapText="1"/>
    </xf>
    <xf numFmtId="3" fontId="9" fillId="0" borderId="1" xfId="0" applyNumberFormat="1" applyFont="1" applyBorder="1" applyAlignment="1">
      <alignment horizontal="right" vertical="center" wrapText="1"/>
    </xf>
    <xf numFmtId="3" fontId="11" fillId="0" borderId="1" xfId="0" applyNumberFormat="1" applyFont="1" applyBorder="1" applyAlignment="1">
      <alignment vertical="center" wrapText="1"/>
    </xf>
    <xf numFmtId="3" fontId="1" fillId="0" borderId="1" xfId="0" applyNumberFormat="1" applyFont="1" applyBorder="1" applyAlignment="1">
      <alignment vertical="center" wrapText="1"/>
    </xf>
    <xf numFmtId="2" fontId="9" fillId="0" borderId="1" xfId="0" applyNumberFormat="1" applyFont="1" applyBorder="1" applyAlignment="1">
      <alignment vertical="center"/>
    </xf>
    <xf numFmtId="3" fontId="11" fillId="0" borderId="1" xfId="0" applyNumberFormat="1" applyFont="1" applyBorder="1" applyAlignment="1">
      <alignment horizontal="right" vertical="center" wrapText="1"/>
    </xf>
    <xf numFmtId="0" fontId="17" fillId="0" borderId="0" xfId="0" applyFont="1"/>
    <xf numFmtId="164" fontId="18" fillId="0" borderId="0" xfId="0" applyNumberFormat="1" applyFont="1" applyAlignment="1">
      <alignment horizontal="center"/>
    </xf>
    <xf numFmtId="0" fontId="19" fillId="0" borderId="0" xfId="0" applyFont="1" applyAlignment="1">
      <alignment horizontal="center"/>
    </xf>
    <xf numFmtId="164" fontId="19" fillId="0" borderId="0" xfId="0" applyNumberFormat="1" applyFont="1"/>
    <xf numFmtId="164" fontId="19" fillId="0" borderId="0" xfId="0" applyNumberFormat="1" applyFont="1" applyAlignment="1">
      <alignment horizontal="center"/>
    </xf>
    <xf numFmtId="0" fontId="19" fillId="0" borderId="0" xfId="0" applyFont="1"/>
    <xf numFmtId="0" fontId="20" fillId="0" borderId="0" xfId="0" applyFont="1"/>
    <xf numFmtId="0" fontId="21" fillId="0" borderId="0" xfId="0" applyFont="1"/>
    <xf numFmtId="164" fontId="22" fillId="2" borderId="0" xfId="0" applyNumberFormat="1" applyFont="1" applyFill="1"/>
    <xf numFmtId="0" fontId="23" fillId="3" borderId="0" xfId="0" applyFont="1" applyFill="1" applyAlignment="1">
      <alignment horizontal="center"/>
    </xf>
    <xf numFmtId="0" fontId="24" fillId="4" borderId="0" xfId="0" applyFont="1" applyFill="1" applyAlignment="1">
      <alignment horizontal="center"/>
    </xf>
    <xf numFmtId="0" fontId="24" fillId="5" borderId="0" xfId="0" applyFont="1" applyFill="1" applyAlignment="1">
      <alignment horizontal="center"/>
    </xf>
    <xf numFmtId="0" fontId="24" fillId="6" borderId="0" xfId="0" applyFont="1" applyFill="1" applyAlignment="1">
      <alignment horizontal="center"/>
    </xf>
    <xf numFmtId="0" fontId="24" fillId="7" borderId="0" xfId="0" applyFont="1" applyFill="1" applyAlignment="1">
      <alignment horizontal="center"/>
    </xf>
    <xf numFmtId="0" fontId="22" fillId="2" borderId="0" xfId="0" applyFont="1" applyFill="1"/>
    <xf numFmtId="0" fontId="19" fillId="3" borderId="0" xfId="0" applyFont="1" applyFill="1"/>
    <xf numFmtId="0" fontId="25" fillId="4" borderId="0" xfId="0" applyFont="1" applyFill="1"/>
    <xf numFmtId="0" fontId="25" fillId="5" borderId="0" xfId="0" applyFont="1" applyFill="1"/>
    <xf numFmtId="0" fontId="25" fillId="6" borderId="0" xfId="0" applyFont="1" applyFill="1"/>
    <xf numFmtId="0" fontId="25" fillId="7" borderId="0" xfId="0" applyFont="1" applyFill="1"/>
    <xf numFmtId="0" fontId="24" fillId="2" borderId="0" xfId="0" applyFont="1" applyFill="1"/>
    <xf numFmtId="0" fontId="25" fillId="4" borderId="0" xfId="0" applyFont="1" applyFill="1" applyAlignment="1">
      <alignment horizontal="center"/>
    </xf>
    <xf numFmtId="0" fontId="25" fillId="5" borderId="0" xfId="0" applyFont="1" applyFill="1" applyAlignment="1">
      <alignment horizontal="center"/>
    </xf>
    <xf numFmtId="0" fontId="25" fillId="6" borderId="0" xfId="0" applyFont="1" applyFill="1" applyAlignment="1">
      <alignment horizontal="center"/>
    </xf>
    <xf numFmtId="0" fontId="25" fillId="7" borderId="0" xfId="0" applyFont="1" applyFill="1" applyAlignment="1">
      <alignment horizontal="center"/>
    </xf>
    <xf numFmtId="0" fontId="19" fillId="0" borderId="0" xfId="0" applyFont="1" applyAlignment="1">
      <alignment vertical="center"/>
    </xf>
    <xf numFmtId="0" fontId="19" fillId="0" borderId="0" xfId="2" applyFont="1"/>
    <xf numFmtId="0" fontId="26" fillId="0" borderId="0" xfId="2" applyFont="1"/>
    <xf numFmtId="0" fontId="19" fillId="0" borderId="0" xfId="2" applyFont="1" applyAlignment="1">
      <alignment horizontal="center"/>
    </xf>
    <xf numFmtId="164" fontId="19" fillId="0" borderId="0" xfId="3" applyNumberFormat="1" applyFont="1"/>
    <xf numFmtId="0" fontId="28" fillId="0" borderId="1" xfId="2" applyFont="1" applyBorder="1" applyAlignment="1">
      <alignment horizontal="center" vertical="center" wrapText="1"/>
    </xf>
    <xf numFmtId="0" fontId="29" fillId="0" borderId="1" xfId="2" applyFont="1" applyBorder="1" applyAlignment="1">
      <alignment horizontal="center" vertical="center" wrapText="1"/>
    </xf>
    <xf numFmtId="164" fontId="28" fillId="0" borderId="1" xfId="3" applyNumberFormat="1" applyFont="1" applyBorder="1" applyAlignment="1">
      <alignment horizontal="center" vertical="center" wrapText="1"/>
    </xf>
    <xf numFmtId="0" fontId="28" fillId="0" borderId="2" xfId="2" applyFont="1" applyBorder="1" applyAlignment="1">
      <alignment horizontal="center" vertical="center" wrapText="1"/>
    </xf>
    <xf numFmtId="0" fontId="28" fillId="0" borderId="1" xfId="2" applyFont="1" applyBorder="1" applyAlignment="1">
      <alignment horizontal="center" vertical="center"/>
    </xf>
    <xf numFmtId="0" fontId="30" fillId="0" borderId="0" xfId="2" applyFont="1"/>
    <xf numFmtId="0" fontId="31" fillId="0" borderId="10" xfId="2" applyFont="1" applyBorder="1" applyAlignment="1">
      <alignment horizontal="center" vertical="center" wrapText="1"/>
    </xf>
    <xf numFmtId="0" fontId="31" fillId="0" borderId="10" xfId="2" applyFont="1" applyBorder="1" applyAlignment="1">
      <alignment horizontal="left" vertical="center" wrapText="1"/>
    </xf>
    <xf numFmtId="164" fontId="19" fillId="0" borderId="0" xfId="2" applyNumberFormat="1" applyFont="1"/>
    <xf numFmtId="0" fontId="24" fillId="0" borderId="0" xfId="2" applyFont="1"/>
    <xf numFmtId="0" fontId="32" fillId="0" borderId="10" xfId="2" applyFont="1" applyBorder="1" applyAlignment="1">
      <alignment horizontal="left" vertical="center" wrapText="1"/>
    </xf>
    <xf numFmtId="164" fontId="36" fillId="0" borderId="11" xfId="3" applyNumberFormat="1" applyFont="1" applyBorder="1" applyAlignment="1">
      <alignment horizontal="right" vertical="center"/>
    </xf>
    <xf numFmtId="0" fontId="32" fillId="0" borderId="10" xfId="2" applyFont="1" applyBorder="1" applyAlignment="1">
      <alignment vertical="center"/>
    </xf>
    <xf numFmtId="164" fontId="37" fillId="0" borderId="10" xfId="3" applyNumberFormat="1" applyFont="1" applyBorder="1" applyAlignment="1">
      <alignment vertical="center"/>
    </xf>
    <xf numFmtId="164" fontId="33" fillId="0" borderId="10" xfId="3" applyNumberFormat="1" applyFont="1" applyBorder="1" applyAlignment="1">
      <alignment vertical="center"/>
    </xf>
    <xf numFmtId="164" fontId="29" fillId="0" borderId="11" xfId="3" applyNumberFormat="1" applyFont="1" applyBorder="1" applyAlignment="1">
      <alignment vertical="center"/>
    </xf>
    <xf numFmtId="0" fontId="33" fillId="0" borderId="10" xfId="2" applyFont="1" applyBorder="1" applyAlignment="1">
      <alignment horizontal="center" vertical="center" wrapText="1"/>
    </xf>
    <xf numFmtId="164" fontId="38" fillId="0" borderId="10" xfId="3" applyNumberFormat="1" applyFont="1" applyBorder="1" applyAlignment="1">
      <alignment vertical="center"/>
    </xf>
    <xf numFmtId="164" fontId="34" fillId="0" borderId="11" xfId="3" applyNumberFormat="1" applyFont="1" applyBorder="1" applyAlignment="1">
      <alignment horizontal="right" vertical="center"/>
    </xf>
    <xf numFmtId="164" fontId="38" fillId="0" borderId="11" xfId="3" applyNumberFormat="1" applyFont="1" applyBorder="1" applyAlignment="1">
      <alignment vertical="center"/>
    </xf>
    <xf numFmtId="0" fontId="32" fillId="0" borderId="11" xfId="2" quotePrefix="1" applyFont="1" applyBorder="1" applyAlignment="1">
      <alignment horizontal="center" vertical="center" wrapText="1"/>
    </xf>
    <xf numFmtId="0" fontId="32" fillId="0" borderId="11" xfId="2" applyFont="1" applyBorder="1" applyAlignment="1">
      <alignment horizontal="left" vertical="center" wrapText="1"/>
    </xf>
    <xf numFmtId="164" fontId="32" fillId="0" borderId="11" xfId="3" applyNumberFormat="1" applyFont="1" applyBorder="1" applyAlignment="1">
      <alignment vertical="center"/>
    </xf>
    <xf numFmtId="164" fontId="32" fillId="0" borderId="12" xfId="3" applyNumberFormat="1" applyFont="1" applyBorder="1" applyAlignment="1">
      <alignment vertical="center" wrapText="1"/>
    </xf>
    <xf numFmtId="164" fontId="10" fillId="0" borderId="12" xfId="3" applyNumberFormat="1" applyFont="1" applyBorder="1" applyAlignment="1">
      <alignment vertical="center"/>
    </xf>
    <xf numFmtId="164" fontId="36" fillId="0" borderId="12" xfId="3" applyNumberFormat="1" applyFont="1" applyBorder="1" applyAlignment="1">
      <alignment horizontal="right" vertical="center" wrapText="1"/>
    </xf>
    <xf numFmtId="164" fontId="25" fillId="0" borderId="0" xfId="2" applyNumberFormat="1" applyFont="1"/>
    <xf numFmtId="0" fontId="25" fillId="0" borderId="0" xfId="2" applyFont="1"/>
    <xf numFmtId="0" fontId="33" fillId="0" borderId="11" xfId="2" applyFont="1" applyBorder="1" applyAlignment="1">
      <alignment horizontal="center" vertical="center" wrapText="1"/>
    </xf>
    <xf numFmtId="0" fontId="31" fillId="0" borderId="11" xfId="2" applyFont="1" applyBorder="1" applyAlignment="1">
      <alignment horizontal="left" vertical="center" wrapText="1"/>
    </xf>
    <xf numFmtId="164" fontId="33" fillId="0" borderId="11" xfId="3" applyNumberFormat="1" applyFont="1" applyBorder="1" applyAlignment="1">
      <alignment vertical="center"/>
    </xf>
    <xf numFmtId="0" fontId="32" fillId="0" borderId="11" xfId="2" applyFont="1" applyBorder="1" applyAlignment="1">
      <alignment horizontal="justify" vertical="center"/>
    </xf>
    <xf numFmtId="164" fontId="31" fillId="0" borderId="11" xfId="3" applyNumberFormat="1" applyFont="1" applyBorder="1" applyAlignment="1">
      <alignment vertical="center"/>
    </xf>
    <xf numFmtId="164" fontId="32" fillId="0" borderId="11" xfId="3" applyNumberFormat="1" applyFont="1" applyBorder="1" applyAlignment="1">
      <alignment horizontal="center" vertical="center"/>
    </xf>
    <xf numFmtId="0" fontId="32" fillId="0" borderId="12" xfId="2" quotePrefix="1" applyFont="1" applyBorder="1" applyAlignment="1">
      <alignment horizontal="center" wrapText="1"/>
    </xf>
    <xf numFmtId="0" fontId="32" fillId="0" borderId="12" xfId="2" applyFont="1" applyBorder="1" applyAlignment="1">
      <alignment horizontal="left" vertical="center" wrapText="1"/>
    </xf>
    <xf numFmtId="164" fontId="32" fillId="0" borderId="12" xfId="3" applyNumberFormat="1" applyFont="1" applyBorder="1" applyAlignment="1">
      <alignment horizontal="center" vertical="center"/>
    </xf>
    <xf numFmtId="0" fontId="22" fillId="0" borderId="1" xfId="2" applyFont="1" applyBorder="1" applyAlignment="1">
      <alignment horizontal="center"/>
    </xf>
    <xf numFmtId="0" fontId="34" fillId="0" borderId="1" xfId="2" applyFont="1" applyBorder="1" applyAlignment="1">
      <alignment horizontal="center"/>
    </xf>
    <xf numFmtId="164" fontId="29" fillId="0" borderId="1" xfId="3" applyNumberFormat="1" applyFont="1" applyBorder="1" applyAlignment="1"/>
    <xf numFmtId="0" fontId="29" fillId="0" borderId="1" xfId="2" applyFont="1" applyBorder="1" applyAlignment="1">
      <alignment vertical="center"/>
    </xf>
    <xf numFmtId="164" fontId="29" fillId="0" borderId="1" xfId="3" applyNumberFormat="1" applyFont="1" applyBorder="1" applyAlignment="1">
      <alignment vertical="center"/>
    </xf>
    <xf numFmtId="164" fontId="34" fillId="0" borderId="1" xfId="3" applyNumberFormat="1" applyFont="1" applyBorder="1" applyAlignment="1">
      <alignment vertical="center"/>
    </xf>
    <xf numFmtId="0" fontId="28" fillId="0" borderId="1" xfId="2" applyFont="1" applyBorder="1"/>
    <xf numFmtId="0" fontId="22" fillId="0" borderId="0" xfId="2" applyFont="1" applyAlignment="1">
      <alignment horizontal="center"/>
    </xf>
    <xf numFmtId="0" fontId="29" fillId="0" borderId="0" xfId="2" applyFont="1" applyAlignment="1">
      <alignment horizontal="center"/>
    </xf>
    <xf numFmtId="164" fontId="29" fillId="0" borderId="0" xfId="3" applyNumberFormat="1" applyFont="1" applyBorder="1" applyAlignment="1"/>
    <xf numFmtId="164" fontId="29" fillId="0" borderId="0" xfId="3" applyNumberFormat="1" applyFont="1" applyBorder="1" applyAlignment="1">
      <alignment vertical="center"/>
    </xf>
    <xf numFmtId="0" fontId="28" fillId="0" borderId="0" xfId="2" applyFont="1"/>
    <xf numFmtId="0" fontId="24" fillId="0" borderId="0" xfId="2" applyFont="1" applyAlignment="1">
      <alignment horizontal="center" wrapText="1"/>
    </xf>
    <xf numFmtId="0" fontId="24" fillId="0" borderId="0" xfId="2" applyFont="1" applyAlignment="1">
      <alignment horizontal="center"/>
    </xf>
    <xf numFmtId="0" fontId="31" fillId="0" borderId="7" xfId="2" applyFont="1" applyBorder="1" applyAlignment="1">
      <alignment horizontal="center" vertical="center" wrapText="1"/>
    </xf>
    <xf numFmtId="164" fontId="31" fillId="0" borderId="7" xfId="3" applyNumberFormat="1" applyFont="1" applyBorder="1" applyAlignment="1">
      <alignment horizontal="center" vertical="center"/>
    </xf>
    <xf numFmtId="0" fontId="31" fillId="0" borderId="7" xfId="2" applyFont="1" applyBorder="1" applyAlignment="1">
      <alignment horizontal="center" vertical="center"/>
    </xf>
    <xf numFmtId="164" fontId="38" fillId="0" borderId="7" xfId="3" applyNumberFormat="1" applyFont="1" applyBorder="1" applyAlignment="1">
      <alignment horizontal="center" vertical="center"/>
    </xf>
    <xf numFmtId="164" fontId="38" fillId="0" borderId="1" xfId="3" applyNumberFormat="1" applyFont="1" applyBorder="1" applyAlignment="1">
      <alignment horizontal="center" vertical="center"/>
    </xf>
    <xf numFmtId="0" fontId="33" fillId="0" borderId="1" xfId="2" applyFont="1" applyBorder="1" applyAlignment="1">
      <alignment horizontal="center" vertical="center" wrapText="1"/>
    </xf>
    <xf numFmtId="0" fontId="33" fillId="0" borderId="1" xfId="2" applyFont="1" applyBorder="1" applyAlignment="1">
      <alignment vertical="center" wrapText="1"/>
    </xf>
    <xf numFmtId="0" fontId="32" fillId="0" borderId="13" xfId="2" applyFont="1" applyBorder="1" applyAlignment="1">
      <alignment horizontal="center" vertical="center" wrapText="1"/>
    </xf>
    <xf numFmtId="0" fontId="32" fillId="0" borderId="13" xfId="2" applyFont="1" applyBorder="1" applyAlignment="1">
      <alignment horizontal="left" vertical="center" wrapText="1"/>
    </xf>
    <xf numFmtId="164" fontId="41" fillId="0" borderId="13" xfId="3" applyNumberFormat="1" applyFont="1" applyBorder="1" applyAlignment="1">
      <alignment vertical="center" wrapText="1"/>
    </xf>
    <xf numFmtId="164" fontId="41" fillId="0" borderId="13" xfId="3" applyNumberFormat="1" applyFont="1" applyBorder="1" applyAlignment="1">
      <alignment vertical="center"/>
    </xf>
    <xf numFmtId="164" fontId="38" fillId="0" borderId="13" xfId="3" applyNumberFormat="1" applyFont="1" applyBorder="1" applyAlignment="1">
      <alignment vertical="center"/>
    </xf>
    <xf numFmtId="0" fontId="29" fillId="0" borderId="13" xfId="2" applyFont="1" applyBorder="1" applyAlignment="1">
      <alignment horizontal="center" vertical="center" wrapText="1"/>
    </xf>
    <xf numFmtId="0" fontId="32" fillId="0" borderId="17" xfId="2" applyFont="1" applyBorder="1" applyAlignment="1">
      <alignment horizontal="center" vertical="center" wrapText="1"/>
    </xf>
    <xf numFmtId="0" fontId="32" fillId="0" borderId="17" xfId="2" applyFont="1" applyBorder="1" applyAlignment="1">
      <alignment horizontal="left" vertical="center" wrapText="1"/>
    </xf>
    <xf numFmtId="164" fontId="29" fillId="0" borderId="17" xfId="3" applyNumberFormat="1" applyFont="1" applyBorder="1" applyAlignment="1">
      <alignment vertical="center"/>
    </xf>
    <xf numFmtId="0" fontId="28" fillId="0" borderId="17" xfId="2" applyFont="1" applyBorder="1" applyAlignment="1">
      <alignment vertical="center"/>
    </xf>
    <xf numFmtId="0" fontId="29" fillId="0" borderId="1" xfId="2" applyFont="1" applyBorder="1" applyAlignment="1">
      <alignment horizontal="center" vertical="center"/>
    </xf>
    <xf numFmtId="164" fontId="28" fillId="0" borderId="1" xfId="2" applyNumberFormat="1" applyFont="1" applyBorder="1" applyAlignment="1">
      <alignment vertical="center"/>
    </xf>
    <xf numFmtId="164" fontId="42" fillId="0" borderId="1" xfId="2" applyNumberFormat="1" applyFont="1" applyBorder="1" applyAlignment="1">
      <alignment vertical="center" wrapText="1"/>
    </xf>
    <xf numFmtId="164" fontId="34" fillId="0" borderId="1" xfId="2" applyNumberFormat="1" applyFont="1" applyBorder="1" applyAlignment="1">
      <alignment vertical="center" wrapText="1"/>
    </xf>
    <xf numFmtId="164" fontId="44" fillId="0" borderId="15" xfId="3" applyNumberFormat="1" applyFont="1" applyBorder="1" applyAlignment="1">
      <alignment vertical="center"/>
    </xf>
    <xf numFmtId="164" fontId="44" fillId="0" borderId="16" xfId="3" applyNumberFormat="1" applyFont="1" applyBorder="1" applyAlignment="1">
      <alignment vertical="center"/>
    </xf>
    <xf numFmtId="164" fontId="45" fillId="0" borderId="13" xfId="3" applyNumberFormat="1" applyFont="1" applyBorder="1" applyAlignment="1">
      <alignment vertical="center"/>
    </xf>
    <xf numFmtId="164" fontId="44" fillId="0" borderId="20" xfId="3" applyNumberFormat="1" applyFont="1" applyBorder="1" applyAlignment="1">
      <alignment vertical="center"/>
    </xf>
    <xf numFmtId="164" fontId="44" fillId="0" borderId="21" xfId="3" applyNumberFormat="1" applyFont="1" applyBorder="1" applyAlignment="1">
      <alignment vertical="center"/>
    </xf>
    <xf numFmtId="164" fontId="45" fillId="0" borderId="17" xfId="3" applyNumberFormat="1" applyFont="1" applyBorder="1" applyAlignment="1">
      <alignment vertical="center"/>
    </xf>
    <xf numFmtId="164" fontId="46" fillId="0" borderId="1" xfId="2" applyNumberFormat="1" applyFont="1" applyBorder="1" applyAlignment="1">
      <alignment vertical="center"/>
    </xf>
    <xf numFmtId="0" fontId="31" fillId="0" borderId="1" xfId="2" applyFont="1" applyBorder="1" applyAlignment="1">
      <alignment horizontal="center" vertical="center" wrapText="1"/>
    </xf>
    <xf numFmtId="164" fontId="31" fillId="0" borderId="1" xfId="2" applyNumberFormat="1" applyFont="1" applyBorder="1" applyAlignment="1">
      <alignment vertical="center" wrapText="1"/>
    </xf>
    <xf numFmtId="164" fontId="47" fillId="0" borderId="1" xfId="2" applyNumberFormat="1" applyFont="1" applyBorder="1" applyAlignment="1">
      <alignment vertical="center"/>
    </xf>
    <xf numFmtId="0" fontId="19" fillId="0" borderId="22" xfId="2" applyFont="1" applyBorder="1" applyAlignment="1">
      <alignment horizontal="center" vertical="center"/>
    </xf>
    <xf numFmtId="164" fontId="44" fillId="0" borderId="23" xfId="3" applyNumberFormat="1" applyFont="1" applyBorder="1" applyAlignment="1">
      <alignment vertical="center"/>
    </xf>
    <xf numFmtId="164" fontId="44" fillId="0" borderId="22" xfId="3" applyNumberFormat="1" applyFont="1" applyBorder="1" applyAlignment="1">
      <alignment vertical="center"/>
    </xf>
    <xf numFmtId="164" fontId="43" fillId="0" borderId="13" xfId="3" applyNumberFormat="1" applyFont="1" applyBorder="1" applyAlignment="1">
      <alignment vertical="center" wrapText="1"/>
    </xf>
    <xf numFmtId="0" fontId="28" fillId="0" borderId="13" xfId="2" applyFont="1" applyBorder="1" applyAlignment="1">
      <alignment vertical="center"/>
    </xf>
    <xf numFmtId="0" fontId="19" fillId="0" borderId="24" xfId="2" applyFont="1" applyBorder="1" applyAlignment="1">
      <alignment horizontal="center" vertical="center"/>
    </xf>
    <xf numFmtId="164" fontId="44" fillId="0" borderId="0" xfId="3" applyNumberFormat="1" applyFont="1" applyBorder="1" applyAlignment="1">
      <alignment vertical="center"/>
    </xf>
    <xf numFmtId="164" fontId="44" fillId="0" borderId="25" xfId="3" applyNumberFormat="1" applyFont="1" applyBorder="1" applyAlignment="1">
      <alignment vertical="center"/>
    </xf>
    <xf numFmtId="164" fontId="43" fillId="0" borderId="17" xfId="3" applyNumberFormat="1" applyFont="1" applyBorder="1" applyAlignment="1">
      <alignment vertical="center" wrapText="1"/>
    </xf>
    <xf numFmtId="0" fontId="50" fillId="0" borderId="1" xfId="2" applyFont="1" applyBorder="1" applyAlignment="1">
      <alignment horizontal="center" vertical="center"/>
    </xf>
    <xf numFmtId="164" fontId="44" fillId="0" borderId="3" xfId="3" applyNumberFormat="1" applyFont="1" applyBorder="1" applyAlignment="1">
      <alignment horizontal="center" vertical="center"/>
    </xf>
    <xf numFmtId="164" fontId="44" fillId="0" borderId="4" xfId="3" applyNumberFormat="1" applyFont="1" applyBorder="1" applyAlignment="1">
      <alignment horizontal="center" vertical="center"/>
    </xf>
    <xf numFmtId="3" fontId="47" fillId="0" borderId="1" xfId="2" applyNumberFormat="1" applyFont="1" applyBorder="1" applyAlignment="1">
      <alignment vertical="center"/>
    </xf>
    <xf numFmtId="0" fontId="29" fillId="0" borderId="1" xfId="2" applyFont="1" applyBorder="1" applyAlignment="1">
      <alignment horizontal="center"/>
    </xf>
    <xf numFmtId="3" fontId="52" fillId="0" borderId="1" xfId="2" applyNumberFormat="1" applyFont="1" applyBorder="1"/>
    <xf numFmtId="0" fontId="53" fillId="0" borderId="0" xfId="0" applyFont="1"/>
    <xf numFmtId="3" fontId="53" fillId="0" borderId="1" xfId="0" applyNumberFormat="1" applyFont="1" applyBorder="1" applyAlignment="1">
      <alignment horizontal="right" vertical="center"/>
    </xf>
    <xf numFmtId="0" fontId="33" fillId="0" borderId="3" xfId="2" applyFont="1" applyBorder="1" applyAlignment="1">
      <alignment vertical="center" wrapText="1"/>
    </xf>
    <xf numFmtId="164" fontId="33" fillId="0" borderId="1" xfId="2" applyNumberFormat="1" applyFont="1" applyBorder="1" applyAlignment="1">
      <alignment vertical="center" wrapText="1"/>
    </xf>
    <xf numFmtId="164" fontId="46" fillId="0" borderId="4" xfId="2" applyNumberFormat="1" applyFont="1" applyBorder="1" applyAlignment="1">
      <alignment vertical="center" wrapText="1"/>
    </xf>
    <xf numFmtId="164" fontId="22" fillId="0" borderId="13" xfId="3" applyNumberFormat="1" applyFont="1" applyBorder="1" applyAlignment="1">
      <alignment vertical="center"/>
    </xf>
    <xf numFmtId="164" fontId="54" fillId="0" borderId="1" xfId="2" applyNumberFormat="1" applyFont="1" applyBorder="1" applyAlignment="1">
      <alignment vertical="center"/>
    </xf>
    <xf numFmtId="0" fontId="50" fillId="0" borderId="4" xfId="2" applyFont="1" applyBorder="1" applyAlignment="1">
      <alignment horizontal="center" vertical="center"/>
    </xf>
    <xf numFmtId="0" fontId="38" fillId="0" borderId="3" xfId="2" applyFont="1" applyBorder="1" applyAlignment="1">
      <alignment vertical="center" wrapText="1"/>
    </xf>
    <xf numFmtId="164" fontId="38" fillId="0" borderId="1" xfId="2" applyNumberFormat="1" applyFont="1" applyBorder="1" applyAlignment="1">
      <alignment vertical="center" wrapText="1"/>
    </xf>
    <xf numFmtId="0" fontId="31" fillId="0" borderId="3" xfId="2" applyFont="1" applyBorder="1" applyAlignment="1">
      <alignment vertical="center" wrapText="1"/>
    </xf>
    <xf numFmtId="0" fontId="56" fillId="0" borderId="1" xfId="0" applyFont="1" applyBorder="1"/>
    <xf numFmtId="0" fontId="55" fillId="0" borderId="0" xfId="0" applyFont="1" applyAlignment="1">
      <alignment horizontal="centerContinuous" vertical="center"/>
    </xf>
    <xf numFmtId="0" fontId="0" fillId="0" borderId="0" xfId="0" applyAlignment="1">
      <alignment horizontal="centerContinuous"/>
    </xf>
    <xf numFmtId="0" fontId="11" fillId="0" borderId="1" xfId="0" applyFont="1" applyBorder="1" applyAlignment="1">
      <alignment horizontal="center" vertical="center" wrapText="1"/>
    </xf>
    <xf numFmtId="0" fontId="1" fillId="0" borderId="1" xfId="0" applyFont="1" applyBorder="1" applyAlignment="1">
      <alignment vertical="center" wrapText="1"/>
    </xf>
    <xf numFmtId="0" fontId="58" fillId="0" borderId="1" xfId="0" applyFont="1" applyBorder="1" applyAlignment="1">
      <alignment horizontal="center" vertical="center"/>
    </xf>
    <xf numFmtId="0" fontId="55" fillId="0" borderId="0" xfId="0" applyFont="1" applyAlignment="1">
      <alignment horizontal="centerContinuous" vertical="center" wrapText="1"/>
    </xf>
    <xf numFmtId="0" fontId="1" fillId="0" borderId="2" xfId="0" applyFont="1" applyBorder="1" applyAlignment="1">
      <alignment vertical="center" wrapText="1"/>
    </xf>
    <xf numFmtId="0" fontId="1"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58" fillId="0" borderId="7" xfId="0" applyFont="1" applyBorder="1" applyAlignment="1">
      <alignment horizontal="center" vertical="center"/>
    </xf>
    <xf numFmtId="0" fontId="59" fillId="0" borderId="1" xfId="0" applyFont="1" applyBorder="1" applyAlignment="1">
      <alignment horizontal="center" vertical="center" wrapText="1"/>
    </xf>
    <xf numFmtId="0" fontId="60" fillId="0" borderId="1" xfId="0" applyFont="1" applyBorder="1" applyAlignment="1">
      <alignment horizontal="center" vertical="center" wrapText="1"/>
    </xf>
    <xf numFmtId="0" fontId="9" fillId="0" borderId="4" xfId="0" applyFont="1" applyBorder="1" applyAlignment="1">
      <alignment horizontal="center" vertical="center" wrapText="1"/>
    </xf>
    <xf numFmtId="0" fontId="61" fillId="0" borderId="0" xfId="0" applyFont="1" applyAlignment="1">
      <alignment horizontal="centerContinuous" vertical="center"/>
    </xf>
    <xf numFmtId="0" fontId="62"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3" fontId="63" fillId="0" borderId="1" xfId="0" applyNumberFormat="1" applyFont="1" applyBorder="1" applyAlignment="1">
      <alignment horizontal="justify" vertical="center" wrapText="1"/>
    </xf>
    <xf numFmtId="3" fontId="64" fillId="0" borderId="1" xfId="0" applyNumberFormat="1" applyFont="1" applyBorder="1" applyAlignment="1">
      <alignment horizontal="center" vertical="center" wrapText="1"/>
    </xf>
    <xf numFmtId="3" fontId="62" fillId="0" borderId="1" xfId="0" applyNumberFormat="1" applyFont="1" applyBorder="1" applyAlignment="1">
      <alignment horizontal="center" vertical="center" wrapText="1"/>
    </xf>
    <xf numFmtId="3" fontId="57" fillId="0" borderId="1" xfId="0" applyNumberFormat="1" applyFont="1" applyBorder="1" applyAlignment="1">
      <alignment horizontal="justify" vertical="center" wrapText="1"/>
    </xf>
    <xf numFmtId="3" fontId="57" fillId="0" borderId="1" xfId="0" applyNumberFormat="1" applyFont="1" applyBorder="1" applyAlignment="1">
      <alignment horizontal="center" vertical="center" wrapText="1"/>
    </xf>
    <xf numFmtId="0" fontId="9" fillId="0" borderId="7" xfId="0" applyFont="1" applyBorder="1" applyAlignment="1">
      <alignment horizontal="center" vertical="center"/>
    </xf>
    <xf numFmtId="0" fontId="9" fillId="0" borderId="1" xfId="0" applyFont="1" applyBorder="1" applyAlignment="1">
      <alignment vertical="center" wrapText="1"/>
    </xf>
    <xf numFmtId="164" fontId="36" fillId="0" borderId="10" xfId="3" applyNumberFormat="1" applyFont="1" applyBorder="1" applyAlignment="1"/>
    <xf numFmtId="164" fontId="36" fillId="0" borderId="11" xfId="3" applyNumberFormat="1" applyFont="1" applyBorder="1" applyAlignment="1"/>
    <xf numFmtId="164" fontId="36" fillId="0" borderId="11" xfId="3" applyNumberFormat="1" applyFont="1" applyBorder="1" applyAlignment="1">
      <alignment horizontal="right"/>
    </xf>
    <xf numFmtId="164" fontId="34" fillId="0" borderId="11" xfId="3" applyNumberFormat="1" applyFont="1" applyBorder="1" applyAlignment="1"/>
    <xf numFmtId="164" fontId="36" fillId="0" borderId="12" xfId="3" applyNumberFormat="1" applyFont="1" applyBorder="1" applyAlignment="1"/>
    <xf numFmtId="0" fontId="4" fillId="0" borderId="0" xfId="1" applyFont="1"/>
    <xf numFmtId="0" fontId="65" fillId="0" borderId="1" xfId="0" applyFont="1" applyBorder="1" applyAlignment="1">
      <alignment horizontal="center" vertical="center"/>
    </xf>
    <xf numFmtId="0" fontId="32" fillId="0" borderId="6" xfId="2" applyFont="1" applyBorder="1" applyAlignment="1">
      <alignment horizontal="center" vertical="center" wrapText="1"/>
    </xf>
    <xf numFmtId="164" fontId="32" fillId="0" borderId="6" xfId="3" applyNumberFormat="1" applyFont="1" applyBorder="1" applyAlignment="1">
      <alignment horizontal="center" vertical="center"/>
    </xf>
    <xf numFmtId="0" fontId="32" fillId="0" borderId="6" xfId="2" applyFont="1" applyBorder="1" applyAlignment="1">
      <alignment horizontal="center" vertical="center"/>
    </xf>
    <xf numFmtId="164" fontId="22" fillId="0" borderId="13" xfId="3" applyNumberFormat="1" applyFont="1" applyBorder="1" applyAlignment="1">
      <alignment horizontal="center" vertical="center" wrapText="1"/>
    </xf>
    <xf numFmtId="164" fontId="22" fillId="0" borderId="6" xfId="3" applyNumberFormat="1" applyFont="1" applyBorder="1" applyAlignment="1">
      <alignment vertical="center"/>
    </xf>
    <xf numFmtId="0" fontId="32" fillId="0" borderId="1" xfId="2" applyFont="1" applyBorder="1" applyAlignment="1">
      <alignment horizontal="center" vertical="center" wrapText="1"/>
    </xf>
    <xf numFmtId="0" fontId="32" fillId="0" borderId="1" xfId="2" applyFont="1" applyBorder="1" applyAlignment="1">
      <alignment horizontal="left" vertical="center" wrapText="1"/>
    </xf>
    <xf numFmtId="164" fontId="32" fillId="0" borderId="1" xfId="3" applyNumberFormat="1" applyFont="1" applyBorder="1" applyAlignment="1">
      <alignment horizontal="center" vertical="center"/>
    </xf>
    <xf numFmtId="0" fontId="32" fillId="0" borderId="1" xfId="2" applyFont="1" applyBorder="1" applyAlignment="1">
      <alignment horizontal="center" vertical="center"/>
    </xf>
    <xf numFmtId="164" fontId="22" fillId="0" borderId="1" xfId="3" applyNumberFormat="1" applyFont="1" applyBorder="1" applyAlignment="1">
      <alignment horizontal="center" vertical="center" wrapText="1"/>
    </xf>
    <xf numFmtId="164" fontId="22" fillId="0" borderId="6" xfId="3" applyNumberFormat="1" applyFont="1" applyBorder="1" applyAlignment="1">
      <alignment vertical="center" shrinkToFit="1"/>
    </xf>
    <xf numFmtId="164" fontId="38" fillId="0" borderId="4" xfId="2" applyNumberFormat="1" applyFont="1" applyBorder="1" applyAlignment="1">
      <alignment vertical="center" wrapText="1"/>
    </xf>
    <xf numFmtId="0" fontId="66" fillId="0" borderId="16" xfId="2" applyFont="1" applyBorder="1" applyAlignment="1">
      <alignment horizontal="center" vertical="center"/>
    </xf>
    <xf numFmtId="164" fontId="32" fillId="0" borderId="13" xfId="3" applyNumberFormat="1" applyFont="1" applyBorder="1" applyAlignment="1">
      <alignment horizontal="center" vertical="center"/>
    </xf>
    <xf numFmtId="0" fontId="32" fillId="0" borderId="13" xfId="2" applyFont="1" applyBorder="1" applyAlignment="1">
      <alignment horizontal="center" vertical="center"/>
    </xf>
    <xf numFmtId="164" fontId="32" fillId="0" borderId="13" xfId="3" applyNumberFormat="1" applyFont="1" applyBorder="1" applyAlignment="1">
      <alignment horizontal="center" vertical="center" wrapText="1"/>
    </xf>
    <xf numFmtId="164" fontId="32" fillId="0" borderId="13" xfId="3" applyNumberFormat="1" applyFont="1" applyBorder="1" applyAlignment="1">
      <alignment vertical="center" wrapText="1"/>
    </xf>
    <xf numFmtId="164" fontId="32" fillId="0" borderId="13" xfId="3" applyNumberFormat="1" applyFont="1" applyBorder="1" applyAlignment="1">
      <alignment vertical="center"/>
    </xf>
    <xf numFmtId="164" fontId="32" fillId="0" borderId="17" xfId="3" applyNumberFormat="1" applyFont="1" applyBorder="1" applyAlignment="1">
      <alignment horizontal="center" vertical="center"/>
    </xf>
    <xf numFmtId="0" fontId="32" fillId="0" borderId="17" xfId="2" applyFont="1" applyBorder="1" applyAlignment="1">
      <alignment horizontal="center" vertical="center"/>
    </xf>
    <xf numFmtId="164" fontId="32" fillId="0" borderId="17" xfId="3" applyNumberFormat="1" applyFont="1" applyBorder="1" applyAlignment="1">
      <alignment horizontal="center" vertical="center" wrapText="1"/>
    </xf>
    <xf numFmtId="164" fontId="32" fillId="0" borderId="17" xfId="3" applyNumberFormat="1" applyFont="1" applyBorder="1" applyAlignment="1">
      <alignment vertical="center"/>
    </xf>
    <xf numFmtId="164" fontId="31" fillId="0" borderId="4" xfId="2" applyNumberFormat="1" applyFont="1" applyBorder="1" applyAlignment="1">
      <alignment vertical="center" wrapText="1"/>
    </xf>
    <xf numFmtId="164" fontId="32" fillId="0" borderId="17" xfId="3" applyNumberFormat="1" applyFont="1" applyBorder="1" applyAlignment="1">
      <alignment vertical="center" wrapText="1"/>
    </xf>
    <xf numFmtId="164" fontId="32" fillId="0" borderId="1" xfId="3" applyNumberFormat="1" applyFont="1" applyBorder="1" applyAlignment="1">
      <alignment horizontal="center" vertical="center" wrapText="1"/>
    </xf>
    <xf numFmtId="164" fontId="32" fillId="0" borderId="26" xfId="2" applyNumberFormat="1" applyFont="1" applyBorder="1" applyAlignment="1">
      <alignment vertical="center" wrapText="1"/>
    </xf>
    <xf numFmtId="164" fontId="32" fillId="0" borderId="16" xfId="2" applyNumberFormat="1" applyFont="1" applyBorder="1" applyAlignment="1">
      <alignment vertical="center" wrapText="1"/>
    </xf>
    <xf numFmtId="0" fontId="34" fillId="0" borderId="1" xfId="2" applyFont="1" applyBorder="1" applyAlignment="1">
      <alignment horizontal="center" vertical="center" wrapText="1"/>
    </xf>
    <xf numFmtId="0" fontId="62" fillId="0" borderId="1" xfId="0" applyFont="1" applyBorder="1" applyAlignment="1">
      <alignment vertical="center" wrapText="1"/>
    </xf>
    <xf numFmtId="0" fontId="15" fillId="0" borderId="1" xfId="0" applyFont="1" applyBorder="1" applyAlignment="1">
      <alignment horizontal="center" vertical="center" wrapText="1"/>
    </xf>
    <xf numFmtId="0" fontId="63" fillId="0" borderId="13" xfId="0" applyFont="1" applyBorder="1" applyAlignment="1">
      <alignment horizontal="center" vertical="center" wrapText="1"/>
    </xf>
    <xf numFmtId="0" fontId="63" fillId="0" borderId="11" xfId="0" applyFont="1" applyBorder="1" applyAlignment="1">
      <alignment horizontal="center" vertical="center" wrapText="1"/>
    </xf>
    <xf numFmtId="0" fontId="62" fillId="0" borderId="7" xfId="0" applyFont="1" applyBorder="1" applyAlignment="1">
      <alignment horizontal="center" vertical="center" wrapText="1"/>
    </xf>
    <xf numFmtId="0" fontId="63" fillId="0" borderId="13" xfId="0" applyFont="1" applyBorder="1" applyAlignment="1">
      <alignment vertical="center"/>
    </xf>
    <xf numFmtId="0" fontId="63" fillId="0" borderId="11" xfId="0" applyFont="1" applyBorder="1" applyAlignment="1">
      <alignment vertical="center"/>
    </xf>
    <xf numFmtId="0" fontId="63" fillId="0" borderId="13" xfId="0" applyFont="1" applyBorder="1" applyAlignment="1">
      <alignment horizontal="center" vertical="center"/>
    </xf>
    <xf numFmtId="0" fontId="63" fillId="0" borderId="11" xfId="0" applyFont="1" applyBorder="1" applyAlignment="1">
      <alignment horizontal="center" vertical="center"/>
    </xf>
    <xf numFmtId="0" fontId="62" fillId="0" borderId="17" xfId="0" applyFont="1" applyBorder="1" applyAlignment="1">
      <alignment horizontal="center" vertical="center"/>
    </xf>
    <xf numFmtId="0" fontId="66" fillId="0" borderId="28" xfId="2" applyFont="1" applyBorder="1" applyAlignment="1">
      <alignment horizontal="center" vertical="center"/>
    </xf>
    <xf numFmtId="0" fontId="32" fillId="0" borderId="11" xfId="2" applyFont="1" applyBorder="1" applyAlignment="1">
      <alignment horizontal="center" vertical="center" wrapText="1"/>
    </xf>
    <xf numFmtId="0" fontId="32" fillId="0" borderId="11" xfId="2" applyFont="1" applyBorder="1" applyAlignment="1">
      <alignment horizontal="center" vertical="center"/>
    </xf>
    <xf numFmtId="164" fontId="32" fillId="0" borderId="11" xfId="3" applyNumberFormat="1" applyFont="1" applyBorder="1" applyAlignment="1">
      <alignment horizontal="center" vertical="center" wrapText="1"/>
    </xf>
    <xf numFmtId="164" fontId="22" fillId="0" borderId="13" xfId="2" applyNumberFormat="1" applyFont="1" applyBorder="1" applyAlignment="1">
      <alignment horizontal="center" vertical="center" shrinkToFit="1"/>
    </xf>
    <xf numFmtId="0" fontId="5" fillId="0" borderId="6" xfId="2" applyFont="1" applyBorder="1" applyAlignment="1">
      <alignment horizontal="center" vertical="center"/>
    </xf>
    <xf numFmtId="0" fontId="5" fillId="0" borderId="7" xfId="2" applyFont="1" applyBorder="1" applyAlignment="1">
      <alignment horizontal="center" vertical="center"/>
    </xf>
    <xf numFmtId="164" fontId="32" fillId="0" borderId="13" xfId="2" applyNumberFormat="1" applyFont="1" applyBorder="1" applyAlignment="1">
      <alignment vertical="center"/>
    </xf>
    <xf numFmtId="164" fontId="32" fillId="0" borderId="11" xfId="3" applyNumberFormat="1" applyFont="1" applyBorder="1" applyAlignment="1">
      <alignment vertical="center" shrinkToFit="1"/>
    </xf>
    <xf numFmtId="164" fontId="32" fillId="0" borderId="11" xfId="2" applyNumberFormat="1" applyFont="1" applyBorder="1" applyAlignment="1">
      <alignment vertical="center"/>
    </xf>
    <xf numFmtId="164" fontId="22" fillId="0" borderId="13" xfId="3" applyNumberFormat="1" applyFont="1" applyBorder="1" applyAlignment="1">
      <alignment vertical="center" wrapText="1"/>
    </xf>
    <xf numFmtId="164" fontId="22" fillId="0" borderId="5" xfId="3" applyNumberFormat="1" applyFont="1" applyBorder="1" applyAlignment="1">
      <alignment horizontal="center" vertical="center"/>
    </xf>
    <xf numFmtId="0" fontId="5" fillId="0" borderId="2" xfId="2" applyFont="1" applyBorder="1" applyAlignment="1">
      <alignment horizontal="center" vertical="center"/>
    </xf>
    <xf numFmtId="3" fontId="5" fillId="0" borderId="4" xfId="2" applyNumberFormat="1" applyFont="1" applyBorder="1" applyAlignment="1">
      <alignment vertical="center"/>
    </xf>
    <xf numFmtId="0" fontId="5" fillId="0" borderId="6" xfId="2" applyFont="1" applyBorder="1" applyAlignment="1">
      <alignment horizontal="right" vertical="center"/>
    </xf>
    <xf numFmtId="3" fontId="4" fillId="0" borderId="7" xfId="2" applyNumberFormat="1" applyFont="1" applyBorder="1" applyAlignment="1">
      <alignment horizontal="center" vertical="center"/>
    </xf>
    <xf numFmtId="0" fontId="5" fillId="0" borderId="7" xfId="2" applyFont="1" applyBorder="1" applyAlignment="1">
      <alignment horizontal="right" vertical="center"/>
    </xf>
    <xf numFmtId="0" fontId="67" fillId="0" borderId="1" xfId="0" applyFont="1" applyBorder="1" applyAlignment="1">
      <alignment horizontal="right" vertical="center" wrapText="1"/>
    </xf>
    <xf numFmtId="0" fontId="11" fillId="0" borderId="0" xfId="0" applyFont="1" applyAlignment="1">
      <alignment horizontal="centerContinuous" vertical="center"/>
    </xf>
    <xf numFmtId="0" fontId="15" fillId="0" borderId="0" xfId="0" applyFont="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center" vertical="center"/>
    </xf>
    <xf numFmtId="0" fontId="18" fillId="0" borderId="0" xfId="2" applyFont="1" applyAlignment="1">
      <alignment horizontal="center"/>
    </xf>
    <xf numFmtId="0" fontId="24" fillId="0" borderId="0" xfId="2" applyFont="1" applyAlignment="1">
      <alignment horizontal="center" wrapText="1"/>
    </xf>
    <xf numFmtId="0" fontId="24" fillId="0" borderId="0" xfId="2" applyFont="1" applyAlignment="1">
      <alignment horizontal="center"/>
    </xf>
    <xf numFmtId="0" fontId="10" fillId="0" borderId="0" xfId="2" applyFont="1" applyAlignment="1">
      <alignment horizontal="center"/>
    </xf>
    <xf numFmtId="164" fontId="35" fillId="0" borderId="8" xfId="2" applyNumberFormat="1" applyFont="1" applyBorder="1" applyAlignment="1">
      <alignment horizontal="center" vertical="center" wrapText="1"/>
    </xf>
    <xf numFmtId="0" fontId="58"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164" fontId="29" fillId="0" borderId="2" xfId="3" applyNumberFormat="1" applyFont="1" applyBorder="1" applyAlignment="1">
      <alignment horizontal="center" vertical="center"/>
    </xf>
    <xf numFmtId="164" fontId="29" fillId="0" borderId="4" xfId="3" applyNumberFormat="1" applyFont="1" applyBorder="1" applyAlignment="1">
      <alignment horizontal="center" vertical="center"/>
    </xf>
    <xf numFmtId="0" fontId="29" fillId="0" borderId="6" xfId="2" applyFont="1" applyBorder="1" applyAlignment="1">
      <alignment horizontal="center" vertical="center" wrapText="1"/>
    </xf>
    <xf numFmtId="0" fontId="29" fillId="0" borderId="7" xfId="2" applyFont="1" applyBorder="1" applyAlignment="1">
      <alignment horizontal="center" vertical="center" wrapText="1"/>
    </xf>
    <xf numFmtId="164" fontId="38" fillId="0" borderId="2" xfId="3" applyNumberFormat="1" applyFont="1" applyBorder="1" applyAlignment="1">
      <alignment horizontal="center" vertical="center"/>
    </xf>
    <xf numFmtId="164" fontId="38" fillId="0" borderId="3" xfId="3" applyNumberFormat="1" applyFont="1" applyBorder="1" applyAlignment="1">
      <alignment horizontal="center" vertical="center"/>
    </xf>
    <xf numFmtId="164" fontId="38" fillId="0" borderId="4" xfId="3" applyNumberFormat="1" applyFont="1" applyBorder="1" applyAlignment="1">
      <alignment horizontal="center" vertical="center"/>
    </xf>
    <xf numFmtId="0" fontId="33" fillId="0" borderId="2" xfId="2" applyFont="1" applyBorder="1" applyAlignment="1">
      <alignment horizontal="left" vertical="center" wrapText="1"/>
    </xf>
    <xf numFmtId="0" fontId="33" fillId="0" borderId="3" xfId="2" applyFont="1" applyBorder="1" applyAlignment="1">
      <alignment horizontal="left" vertical="center" wrapText="1"/>
    </xf>
    <xf numFmtId="0" fontId="33" fillId="0" borderId="4" xfId="2" applyFont="1" applyBorder="1" applyAlignment="1">
      <alignment horizontal="left" vertical="center" wrapText="1"/>
    </xf>
    <xf numFmtId="0" fontId="33" fillId="0" borderId="6" xfId="2" applyFont="1" applyBorder="1" applyAlignment="1">
      <alignment horizontal="center" vertical="center" wrapText="1"/>
    </xf>
    <xf numFmtId="0" fontId="33" fillId="0" borderId="7" xfId="2" applyFont="1" applyBorder="1" applyAlignment="1">
      <alignment horizontal="center" vertical="center" wrapText="1"/>
    </xf>
    <xf numFmtId="164" fontId="33" fillId="0" borderId="6" xfId="3" applyNumberFormat="1" applyFont="1" applyBorder="1" applyAlignment="1">
      <alignment horizontal="center" vertical="center"/>
    </xf>
    <xf numFmtId="164" fontId="33" fillId="0" borderId="7" xfId="3" applyNumberFormat="1" applyFont="1" applyBorder="1" applyAlignment="1">
      <alignment horizontal="center" vertical="center"/>
    </xf>
    <xf numFmtId="0" fontId="33" fillId="0" borderId="6" xfId="2" applyFont="1" applyBorder="1" applyAlignment="1">
      <alignment horizontal="center" vertical="center"/>
    </xf>
    <xf numFmtId="0" fontId="33" fillId="0" borderId="7" xfId="2" applyFont="1" applyBorder="1" applyAlignment="1">
      <alignment horizontal="center" vertical="center"/>
    </xf>
    <xf numFmtId="164" fontId="37" fillId="0" borderId="13" xfId="3" applyNumberFormat="1" applyFont="1" applyBorder="1" applyAlignment="1">
      <alignment horizontal="center" vertical="center" wrapText="1"/>
    </xf>
    <xf numFmtId="164" fontId="37" fillId="0" borderId="17" xfId="3" applyNumberFormat="1" applyFont="1" applyBorder="1" applyAlignment="1">
      <alignment horizontal="center" vertical="center" wrapText="1"/>
    </xf>
    <xf numFmtId="164" fontId="41" fillId="0" borderId="14" xfId="3" applyNumberFormat="1" applyFont="1" applyBorder="1" applyAlignment="1">
      <alignment horizontal="center" vertical="center"/>
    </xf>
    <xf numFmtId="164" fontId="41" fillId="0" borderId="15" xfId="3" applyNumberFormat="1" applyFont="1" applyBorder="1" applyAlignment="1">
      <alignment horizontal="center" vertical="center"/>
    </xf>
    <xf numFmtId="164" fontId="41" fillId="0" borderId="16" xfId="3" applyNumberFormat="1" applyFont="1" applyBorder="1" applyAlignment="1">
      <alignment horizontal="center" vertical="center"/>
    </xf>
    <xf numFmtId="164" fontId="29" fillId="0" borderId="6" xfId="3" applyNumberFormat="1" applyFont="1" applyBorder="1" applyAlignment="1">
      <alignment horizontal="center" vertical="center" wrapText="1"/>
    </xf>
    <xf numFmtId="164" fontId="29" fillId="0" borderId="7" xfId="3" applyNumberFormat="1" applyFont="1" applyBorder="1" applyAlignment="1">
      <alignment horizontal="center" vertical="center" wrapText="1"/>
    </xf>
    <xf numFmtId="164" fontId="29" fillId="0" borderId="2" xfId="3" applyNumberFormat="1" applyFont="1" applyBorder="1" applyAlignment="1">
      <alignment horizontal="center" vertical="center" wrapText="1"/>
    </xf>
    <xf numFmtId="164" fontId="29" fillId="0" borderId="3" xfId="3" applyNumberFormat="1" applyFont="1" applyBorder="1" applyAlignment="1">
      <alignment horizontal="center" vertical="center" wrapText="1"/>
    </xf>
    <xf numFmtId="164" fontId="29" fillId="0" borderId="4" xfId="3" applyNumberFormat="1" applyFont="1" applyBorder="1" applyAlignment="1">
      <alignment horizontal="center" vertical="center" wrapText="1"/>
    </xf>
    <xf numFmtId="0" fontId="29" fillId="0" borderId="2" xfId="2" applyFont="1" applyBorder="1" applyAlignment="1">
      <alignment horizontal="center" vertical="center" wrapText="1"/>
    </xf>
    <xf numFmtId="0" fontId="29" fillId="0" borderId="3" xfId="2" applyFont="1" applyBorder="1" applyAlignment="1">
      <alignment horizontal="center" vertical="center" wrapText="1"/>
    </xf>
    <xf numFmtId="0" fontId="29" fillId="0" borderId="4" xfId="2" applyFont="1" applyBorder="1" applyAlignment="1">
      <alignment horizontal="center" vertical="center" wrapText="1"/>
    </xf>
    <xf numFmtId="0" fontId="3" fillId="0" borderId="1" xfId="0" applyFont="1" applyBorder="1" applyAlignment="1">
      <alignment horizontal="center" vertical="center" wrapText="1"/>
    </xf>
    <xf numFmtId="0" fontId="34" fillId="0" borderId="2" xfId="2" applyFont="1" applyBorder="1" applyAlignment="1">
      <alignment horizontal="center" vertical="center"/>
    </xf>
    <xf numFmtId="0" fontId="34" fillId="0" borderId="3" xfId="2" applyFont="1" applyBorder="1" applyAlignment="1">
      <alignment horizontal="center" vertical="center"/>
    </xf>
    <xf numFmtId="0" fontId="34" fillId="0" borderId="4" xfId="2" applyFont="1" applyBorder="1" applyAlignment="1">
      <alignment horizontal="center" vertical="center"/>
    </xf>
    <xf numFmtId="0" fontId="31" fillId="0" borderId="2" xfId="2" applyFont="1" applyBorder="1" applyAlignment="1">
      <alignment horizontal="left" vertical="center" wrapText="1"/>
    </xf>
    <xf numFmtId="0" fontId="31" fillId="0" borderId="3" xfId="2" applyFont="1" applyBorder="1" applyAlignment="1">
      <alignment horizontal="left" vertical="center" wrapText="1"/>
    </xf>
    <xf numFmtId="0" fontId="34" fillId="0" borderId="2" xfId="2" applyFont="1" applyBorder="1" applyAlignment="1">
      <alignment horizontal="left" vertical="center" wrapText="1"/>
    </xf>
    <xf numFmtId="0" fontId="34" fillId="0" borderId="3" xfId="2" applyFont="1" applyBorder="1" applyAlignment="1">
      <alignment horizontal="left" vertical="center" wrapText="1"/>
    </xf>
    <xf numFmtId="0" fontId="38" fillId="0" borderId="2" xfId="2" applyFont="1" applyBorder="1" applyAlignment="1">
      <alignment horizontal="left" vertical="center" wrapText="1"/>
    </xf>
    <xf numFmtId="0" fontId="38" fillId="0" borderId="3" xfId="2" applyFont="1" applyBorder="1" applyAlignment="1">
      <alignment horizontal="left" vertical="center" wrapText="1"/>
    </xf>
    <xf numFmtId="164" fontId="32" fillId="0" borderId="13" xfId="3" applyNumberFormat="1" applyFont="1" applyBorder="1" applyAlignment="1">
      <alignment horizontal="center" vertical="center"/>
    </xf>
    <xf numFmtId="164" fontId="32" fillId="0" borderId="17" xfId="3" applyNumberFormat="1" applyFont="1" applyBorder="1" applyAlignment="1">
      <alignment horizontal="center" vertical="center"/>
    </xf>
    <xf numFmtId="164" fontId="32" fillId="0" borderId="2" xfId="3" applyNumberFormat="1" applyFont="1" applyBorder="1" applyAlignment="1">
      <alignment horizontal="center" vertical="center"/>
    </xf>
    <xf numFmtId="164" fontId="32" fillId="0" borderId="3" xfId="3" applyNumberFormat="1" applyFont="1" applyBorder="1" applyAlignment="1">
      <alignment horizontal="center" vertical="center"/>
    </xf>
    <xf numFmtId="164" fontId="32" fillId="0" borderId="4" xfId="3" applyNumberFormat="1" applyFont="1" applyBorder="1" applyAlignment="1">
      <alignment horizontal="center" vertical="center"/>
    </xf>
    <xf numFmtId="164" fontId="22" fillId="0" borderId="14" xfId="3" applyNumberFormat="1" applyFont="1" applyBorder="1" applyAlignment="1">
      <alignment horizontal="center" vertical="center"/>
    </xf>
    <xf numFmtId="164" fontId="22" fillId="0" borderId="15" xfId="3" applyNumberFormat="1" applyFont="1" applyBorder="1" applyAlignment="1">
      <alignment horizontal="center" vertical="center"/>
    </xf>
    <xf numFmtId="164" fontId="22" fillId="0" borderId="16" xfId="3" applyNumberFormat="1" applyFont="1" applyBorder="1" applyAlignment="1">
      <alignment horizontal="center" vertical="center"/>
    </xf>
    <xf numFmtId="3" fontId="62" fillId="0" borderId="1" xfId="0" applyNumberFormat="1" applyFont="1" applyBorder="1" applyAlignment="1">
      <alignment horizontal="left" vertical="center" wrapText="1"/>
    </xf>
    <xf numFmtId="0" fontId="62" fillId="0" borderId="7" xfId="0" applyFont="1" applyBorder="1" applyAlignment="1">
      <alignment vertical="center" wrapText="1"/>
    </xf>
    <xf numFmtId="3" fontId="62" fillId="0" borderId="1" xfId="0" applyNumberFormat="1" applyFont="1" applyBorder="1" applyAlignment="1">
      <alignment horizontal="center" vertical="center" wrapText="1"/>
    </xf>
    <xf numFmtId="0" fontId="62" fillId="0" borderId="2" xfId="0" applyFont="1" applyBorder="1" applyAlignment="1">
      <alignment horizontal="left" vertical="center" wrapText="1"/>
    </xf>
    <xf numFmtId="0" fontId="62" fillId="0" borderId="3" xfId="0" applyFont="1" applyBorder="1" applyAlignment="1">
      <alignment horizontal="left" vertical="center" wrapText="1"/>
    </xf>
    <xf numFmtId="0" fontId="62" fillId="0" borderId="4" xfId="0" applyFont="1" applyBorder="1" applyAlignment="1">
      <alignment horizontal="left" vertical="center" wrapText="1"/>
    </xf>
    <xf numFmtId="0" fontId="62" fillId="0" borderId="17" xfId="0" applyFont="1" applyBorder="1" applyAlignment="1">
      <alignment horizontal="center" vertical="center"/>
    </xf>
    <xf numFmtId="164" fontId="43" fillId="0" borderId="6" xfId="3" applyNumberFormat="1" applyFont="1" applyBorder="1" applyAlignment="1">
      <alignment horizontal="center" vertical="center" wrapText="1"/>
    </xf>
    <xf numFmtId="164" fontId="43" fillId="0" borderId="7" xfId="3" applyNumberFormat="1" applyFont="1" applyBorder="1" applyAlignment="1">
      <alignment horizontal="center" vertical="center" wrapText="1"/>
    </xf>
    <xf numFmtId="164" fontId="43" fillId="0" borderId="6" xfId="3" applyNumberFormat="1" applyFont="1" applyBorder="1" applyAlignment="1">
      <alignment horizontal="center" vertical="center"/>
    </xf>
    <xf numFmtId="164" fontId="43" fillId="0" borderId="7" xfId="3" applyNumberFormat="1" applyFont="1" applyBorder="1" applyAlignment="1">
      <alignment horizontal="center" vertical="center"/>
    </xf>
    <xf numFmtId="0" fontId="32" fillId="0" borderId="6" xfId="2" applyFont="1" applyBorder="1" applyAlignment="1">
      <alignment horizontal="center" vertical="center" wrapText="1"/>
    </xf>
    <xf numFmtId="0" fontId="32" fillId="0" borderId="7" xfId="2" applyFont="1" applyBorder="1" applyAlignment="1">
      <alignment horizontal="center" vertical="center" wrapText="1"/>
    </xf>
    <xf numFmtId="164" fontId="32" fillId="0" borderId="6" xfId="3" applyNumberFormat="1" applyFont="1" applyBorder="1" applyAlignment="1">
      <alignment horizontal="center" vertical="center"/>
    </xf>
    <xf numFmtId="164" fontId="32" fillId="0" borderId="7" xfId="3" applyNumberFormat="1" applyFont="1" applyBorder="1" applyAlignment="1">
      <alignment horizontal="center" vertical="center"/>
    </xf>
    <xf numFmtId="0" fontId="32" fillId="0" borderId="6" xfId="2" applyFont="1" applyBorder="1" applyAlignment="1">
      <alignment horizontal="center" vertical="center"/>
    </xf>
    <xf numFmtId="0" fontId="32" fillId="0" borderId="7" xfId="2" applyFont="1" applyBorder="1" applyAlignment="1">
      <alignment horizontal="center" vertical="center"/>
    </xf>
    <xf numFmtId="164" fontId="37" fillId="0" borderId="10" xfId="3" applyNumberFormat="1" applyFont="1" applyBorder="1" applyAlignment="1">
      <alignment horizontal="center" vertical="center" wrapText="1"/>
    </xf>
    <xf numFmtId="164" fontId="37" fillId="0" borderId="12" xfId="3" applyNumberFormat="1" applyFont="1" applyBorder="1" applyAlignment="1">
      <alignment horizontal="center" vertical="center" wrapText="1"/>
    </xf>
    <xf numFmtId="164" fontId="43" fillId="0" borderId="18" xfId="3" applyNumberFormat="1" applyFont="1" applyBorder="1" applyAlignment="1">
      <alignment horizontal="center" vertical="center"/>
    </xf>
    <xf numFmtId="164" fontId="43" fillId="0" borderId="5" xfId="3" applyNumberFormat="1" applyFont="1" applyBorder="1" applyAlignment="1">
      <alignment horizontal="center" vertical="center"/>
    </xf>
    <xf numFmtId="164" fontId="43" fillId="0" borderId="26" xfId="3" applyNumberFormat="1" applyFont="1" applyBorder="1" applyAlignment="1">
      <alignment horizontal="center" vertical="center"/>
    </xf>
    <xf numFmtId="164" fontId="43" fillId="0" borderId="19" xfId="3" applyNumberFormat="1" applyFont="1" applyBorder="1" applyAlignment="1">
      <alignment horizontal="center" vertical="center"/>
    </xf>
    <xf numFmtId="164" fontId="43" fillId="0" borderId="9" xfId="3" applyNumberFormat="1" applyFont="1" applyBorder="1" applyAlignment="1">
      <alignment horizontal="center" vertical="center"/>
    </xf>
    <xf numFmtId="164" fontId="43" fillId="0" borderId="27" xfId="3" applyNumberFormat="1" applyFont="1" applyBorder="1" applyAlignment="1">
      <alignment horizontal="center" vertical="center"/>
    </xf>
    <xf numFmtId="0" fontId="31" fillId="0" borderId="4" xfId="2" applyFont="1" applyBorder="1" applyAlignment="1">
      <alignment horizontal="left" vertical="center" wrapText="1"/>
    </xf>
    <xf numFmtId="164" fontId="48" fillId="0" borderId="10" xfId="3" applyNumberFormat="1" applyFont="1" applyBorder="1" applyAlignment="1">
      <alignment horizontal="center" vertical="center" wrapText="1"/>
    </xf>
    <xf numFmtId="164" fontId="49" fillId="0" borderId="12" xfId="3" applyNumberFormat="1" applyFont="1" applyBorder="1" applyAlignment="1">
      <alignment horizontal="center" vertical="center" wrapText="1"/>
    </xf>
    <xf numFmtId="0" fontId="9" fillId="0" borderId="7" xfId="0" applyFont="1" applyBorder="1" applyAlignment="1">
      <alignment horizontal="center" vertical="center"/>
    </xf>
    <xf numFmtId="0" fontId="3" fillId="0" borderId="6" xfId="0" applyFont="1" applyBorder="1" applyAlignment="1">
      <alignment horizontal="center" vertical="center" wrapText="1"/>
    </xf>
    <xf numFmtId="0" fontId="9" fillId="0" borderId="0" xfId="0" applyFont="1" applyAlignment="1">
      <alignment horizontal="center"/>
    </xf>
    <xf numFmtId="0" fontId="7" fillId="0" borderId="0" xfId="1" applyFont="1" applyAlignment="1">
      <alignment horizontal="justify"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5" fillId="0" borderId="6" xfId="1" applyFont="1" applyBorder="1" applyAlignment="1">
      <alignment horizontal="center" vertical="center" wrapText="1"/>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3" fontId="4" fillId="0" borderId="5" xfId="1" applyNumberFormat="1" applyFont="1" applyBorder="1" applyAlignment="1">
      <alignment horizontal="left"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3" fillId="0" borderId="0" xfId="1" applyFont="1" applyAlignment="1">
      <alignment horizontal="center" wrapText="1"/>
    </xf>
    <xf numFmtId="0" fontId="3" fillId="0" borderId="0" xfId="1" applyFont="1" applyAlignment="1">
      <alignment horizontal="center"/>
    </xf>
    <xf numFmtId="0" fontId="3" fillId="0" borderId="0" xfId="1" applyFont="1" applyAlignment="1">
      <alignment horizontal="center" vertical="center"/>
    </xf>
    <xf numFmtId="0" fontId="5" fillId="0" borderId="6" xfId="2" applyFont="1" applyBorder="1" applyAlignment="1">
      <alignment horizontal="center" vertical="center"/>
    </xf>
    <xf numFmtId="0" fontId="5" fillId="0" borderId="7" xfId="2" applyFont="1" applyBorder="1" applyAlignment="1">
      <alignment horizontal="center" vertical="center"/>
    </xf>
    <xf numFmtId="0" fontId="4" fillId="0" borderId="2" xfId="2" applyFont="1" applyBorder="1" applyAlignment="1">
      <alignment horizontal="left" vertical="center"/>
    </xf>
    <xf numFmtId="0" fontId="4" fillId="0" borderId="3" xfId="2" applyFont="1" applyBorder="1" applyAlignment="1">
      <alignment horizontal="left" vertical="center"/>
    </xf>
    <xf numFmtId="0" fontId="4" fillId="0" borderId="3" xfId="2" applyFont="1" applyBorder="1" applyAlignment="1">
      <alignment horizontal="right" vertical="center"/>
    </xf>
    <xf numFmtId="0" fontId="4" fillId="0" borderId="4"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0" xfId="2" applyFont="1" applyAlignment="1">
      <alignment horizontal="center" vertical="center"/>
    </xf>
    <xf numFmtId="0" fontId="9" fillId="0" borderId="0" xfId="2" applyFont="1" applyAlignment="1">
      <alignment horizontal="right" vertical="center"/>
    </xf>
    <xf numFmtId="0" fontId="12" fillId="0" borderId="0" xfId="2" applyFont="1" applyAlignment="1">
      <alignment horizontal="left" vertical="center"/>
    </xf>
    <xf numFmtId="0" fontId="4" fillId="0" borderId="6" xfId="2" applyFont="1" applyBorder="1" applyAlignment="1">
      <alignment horizontal="center" vertical="center"/>
    </xf>
    <xf numFmtId="0" fontId="4" fillId="0" borderId="7" xfId="2" applyFont="1" applyBorder="1" applyAlignment="1">
      <alignment horizontal="center" vertical="center"/>
    </xf>
    <xf numFmtId="0" fontId="4" fillId="0" borderId="6" xfId="2" applyFont="1" applyBorder="1" applyAlignment="1">
      <alignment horizontal="center" vertical="center" wrapText="1"/>
    </xf>
    <xf numFmtId="0" fontId="52" fillId="0" borderId="7" xfId="2"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7" xfId="2" applyFont="1" applyBorder="1" applyAlignment="1">
      <alignment horizontal="center" vertical="center" wrapText="1"/>
    </xf>
    <xf numFmtId="0" fontId="3" fillId="0" borderId="2" xfId="2" applyFont="1" applyBorder="1" applyAlignment="1">
      <alignment horizontal="center" vertical="center"/>
    </xf>
    <xf numFmtId="0" fontId="3" fillId="0" borderId="4" xfId="2" applyFont="1" applyBorder="1" applyAlignment="1">
      <alignment horizontal="center" vertical="center"/>
    </xf>
    <xf numFmtId="0" fontId="6" fillId="0" borderId="0" xfId="2" applyFont="1" applyAlignment="1">
      <alignment horizontal="left" vertical="center"/>
    </xf>
    <xf numFmtId="0" fontId="4" fillId="0" borderId="2" xfId="2" applyFont="1" applyBorder="1" applyAlignment="1">
      <alignment horizontal="center" vertical="center"/>
    </xf>
    <xf numFmtId="0" fontId="4" fillId="0" borderId="3" xfId="2" applyFont="1" applyBorder="1" applyAlignment="1">
      <alignment horizontal="center" vertical="center"/>
    </xf>
    <xf numFmtId="0" fontId="5" fillId="0" borderId="6" xfId="2" applyFont="1" applyBorder="1" applyAlignment="1">
      <alignment horizontal="left" vertical="center"/>
    </xf>
    <xf numFmtId="0" fontId="5" fillId="0" borderId="7" xfId="2" applyFont="1" applyBorder="1" applyAlignment="1">
      <alignment horizontal="left" vertical="center"/>
    </xf>
    <xf numFmtId="3" fontId="51" fillId="0" borderId="6" xfId="2" applyNumberFormat="1" applyFont="1" applyBorder="1" applyAlignment="1">
      <alignment horizontal="right" vertical="center"/>
    </xf>
    <xf numFmtId="3" fontId="51" fillId="0" borderId="7" xfId="2" applyNumberFormat="1" applyFont="1" applyBorder="1" applyAlignment="1">
      <alignment horizontal="right" vertical="center"/>
    </xf>
    <xf numFmtId="0" fontId="11" fillId="0" borderId="5" xfId="0" applyFont="1" applyBorder="1" applyAlignment="1">
      <alignment horizontal="center" vertical="center"/>
    </xf>
  </cellXfs>
  <cellStyles count="4">
    <cellStyle name="Bình thường 2" xfId="1" xr:uid="{1813AD45-F4F4-4BCA-9A3A-192E09E749DC}"/>
    <cellStyle name="Bình thường 2 2" xfId="2" xr:uid="{2FD608B0-8C97-485C-8EB2-50FDDCB531DF}"/>
    <cellStyle name="Dấu phẩy 2" xfId="3" xr:uid="{CC9ACE11-4A6B-498E-809B-375C2483E31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6</xdr:col>
      <xdr:colOff>589722</xdr:colOff>
      <xdr:row>2</xdr:row>
      <xdr:rowOff>33126</xdr:rowOff>
    </xdr:from>
    <xdr:to>
      <xdr:col>7</xdr:col>
      <xdr:colOff>530514</xdr:colOff>
      <xdr:row>2</xdr:row>
      <xdr:rowOff>33126</xdr:rowOff>
    </xdr:to>
    <xdr:cxnSp macro="">
      <xdr:nvCxnSpPr>
        <xdr:cNvPr id="2" name="Straight Connector 3">
          <a:extLst>
            <a:ext uri="{FF2B5EF4-FFF2-40B4-BE49-F238E27FC236}">
              <a16:creationId xmlns:a16="http://schemas.microsoft.com/office/drawing/2014/main" id="{2B989EFB-B755-4305-AA46-34365C86AABC}"/>
            </a:ext>
          </a:extLst>
        </xdr:cNvPr>
        <xdr:cNvCxnSpPr/>
      </xdr:nvCxnSpPr>
      <xdr:spPr>
        <a:xfrm>
          <a:off x="3637722" y="671301"/>
          <a:ext cx="1207617"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151574</xdr:colOff>
      <xdr:row>2</xdr:row>
      <xdr:rowOff>16560</xdr:rowOff>
    </xdr:from>
    <xdr:to>
      <xdr:col>8</xdr:col>
      <xdr:colOff>577554</xdr:colOff>
      <xdr:row>2</xdr:row>
      <xdr:rowOff>16560</xdr:rowOff>
    </xdr:to>
    <xdr:cxnSp macro="">
      <xdr:nvCxnSpPr>
        <xdr:cNvPr id="2" name="Straight Connector 3">
          <a:extLst>
            <a:ext uri="{FF2B5EF4-FFF2-40B4-BE49-F238E27FC236}">
              <a16:creationId xmlns:a16="http://schemas.microsoft.com/office/drawing/2014/main" id="{57FFECF9-0E87-450D-8ECE-2276BC9A068E}"/>
            </a:ext>
          </a:extLst>
        </xdr:cNvPr>
        <xdr:cNvCxnSpPr/>
      </xdr:nvCxnSpPr>
      <xdr:spPr>
        <a:xfrm>
          <a:off x="4077531" y="654321"/>
          <a:ext cx="989197"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ABB02-7D2E-41B6-8A74-0BF9BA48CBBD}">
  <dimension ref="A1:N44"/>
  <sheetViews>
    <sheetView topLeftCell="A17" workbookViewId="0">
      <selection activeCell="B33" sqref="B33"/>
    </sheetView>
  </sheetViews>
  <sheetFormatPr defaultRowHeight="15"/>
  <cols>
    <col min="1" max="1" width="14.140625" customWidth="1"/>
    <col min="2" max="2" width="20.85546875" customWidth="1"/>
    <col min="257" max="257" width="14.140625" customWidth="1"/>
    <col min="258" max="258" width="20.85546875" customWidth="1"/>
    <col min="513" max="513" width="14.140625" customWidth="1"/>
    <col min="514" max="514" width="20.85546875" customWidth="1"/>
    <col min="769" max="769" width="14.140625" customWidth="1"/>
    <col min="770" max="770" width="20.85546875" customWidth="1"/>
    <col min="1025" max="1025" width="14.140625" customWidth="1"/>
    <col min="1026" max="1026" width="20.85546875" customWidth="1"/>
    <col min="1281" max="1281" width="14.140625" customWidth="1"/>
    <col min="1282" max="1282" width="20.85546875" customWidth="1"/>
    <col min="1537" max="1537" width="14.140625" customWidth="1"/>
    <col min="1538" max="1538" width="20.85546875" customWidth="1"/>
    <col min="1793" max="1793" width="14.140625" customWidth="1"/>
    <col min="1794" max="1794" width="20.85546875" customWidth="1"/>
    <col min="2049" max="2049" width="14.140625" customWidth="1"/>
    <col min="2050" max="2050" width="20.85546875" customWidth="1"/>
    <col min="2305" max="2305" width="14.140625" customWidth="1"/>
    <col min="2306" max="2306" width="20.85546875" customWidth="1"/>
    <col min="2561" max="2561" width="14.140625" customWidth="1"/>
    <col min="2562" max="2562" width="20.85546875" customWidth="1"/>
    <col min="2817" max="2817" width="14.140625" customWidth="1"/>
    <col min="2818" max="2818" width="20.85546875" customWidth="1"/>
    <col min="3073" max="3073" width="14.140625" customWidth="1"/>
    <col min="3074" max="3074" width="20.85546875" customWidth="1"/>
    <col min="3329" max="3329" width="14.140625" customWidth="1"/>
    <col min="3330" max="3330" width="20.85546875" customWidth="1"/>
    <col min="3585" max="3585" width="14.140625" customWidth="1"/>
    <col min="3586" max="3586" width="20.85546875" customWidth="1"/>
    <col min="3841" max="3841" width="14.140625" customWidth="1"/>
    <col min="3842" max="3842" width="20.85546875" customWidth="1"/>
    <col min="4097" max="4097" width="14.140625" customWidth="1"/>
    <col min="4098" max="4098" width="20.85546875" customWidth="1"/>
    <col min="4353" max="4353" width="14.140625" customWidth="1"/>
    <col min="4354" max="4354" width="20.85546875" customWidth="1"/>
    <col min="4609" max="4609" width="14.140625" customWidth="1"/>
    <col min="4610" max="4610" width="20.85546875" customWidth="1"/>
    <col min="4865" max="4865" width="14.140625" customWidth="1"/>
    <col min="4866" max="4866" width="20.85546875" customWidth="1"/>
    <col min="5121" max="5121" width="14.140625" customWidth="1"/>
    <col min="5122" max="5122" width="20.85546875" customWidth="1"/>
    <col min="5377" max="5377" width="14.140625" customWidth="1"/>
    <col min="5378" max="5378" width="20.85546875" customWidth="1"/>
    <col min="5633" max="5633" width="14.140625" customWidth="1"/>
    <col min="5634" max="5634" width="20.85546875" customWidth="1"/>
    <col min="5889" max="5889" width="14.140625" customWidth="1"/>
    <col min="5890" max="5890" width="20.85546875" customWidth="1"/>
    <col min="6145" max="6145" width="14.140625" customWidth="1"/>
    <col min="6146" max="6146" width="20.85546875" customWidth="1"/>
    <col min="6401" max="6401" width="14.140625" customWidth="1"/>
    <col min="6402" max="6402" width="20.85546875" customWidth="1"/>
    <col min="6657" max="6657" width="14.140625" customWidth="1"/>
    <col min="6658" max="6658" width="20.85546875" customWidth="1"/>
    <col min="6913" max="6913" width="14.140625" customWidth="1"/>
    <col min="6914" max="6914" width="20.85546875" customWidth="1"/>
    <col min="7169" max="7169" width="14.140625" customWidth="1"/>
    <col min="7170" max="7170" width="20.85546875" customWidth="1"/>
    <col min="7425" max="7425" width="14.140625" customWidth="1"/>
    <col min="7426" max="7426" width="20.85546875" customWidth="1"/>
    <col min="7681" max="7681" width="14.140625" customWidth="1"/>
    <col min="7682" max="7682" width="20.85546875" customWidth="1"/>
    <col min="7937" max="7937" width="14.140625" customWidth="1"/>
    <col min="7938" max="7938" width="20.85546875" customWidth="1"/>
    <col min="8193" max="8193" width="14.140625" customWidth="1"/>
    <col min="8194" max="8194" width="20.85546875" customWidth="1"/>
    <col min="8449" max="8449" width="14.140625" customWidth="1"/>
    <col min="8450" max="8450" width="20.85546875" customWidth="1"/>
    <col min="8705" max="8705" width="14.140625" customWidth="1"/>
    <col min="8706" max="8706" width="20.85546875" customWidth="1"/>
    <col min="8961" max="8961" width="14.140625" customWidth="1"/>
    <col min="8962" max="8962" width="20.85546875" customWidth="1"/>
    <col min="9217" max="9217" width="14.140625" customWidth="1"/>
    <col min="9218" max="9218" width="20.85546875" customWidth="1"/>
    <col min="9473" max="9473" width="14.140625" customWidth="1"/>
    <col min="9474" max="9474" width="20.85546875" customWidth="1"/>
    <col min="9729" max="9729" width="14.140625" customWidth="1"/>
    <col min="9730" max="9730" width="20.85546875" customWidth="1"/>
    <col min="9985" max="9985" width="14.140625" customWidth="1"/>
    <col min="9986" max="9986" width="20.85546875" customWidth="1"/>
    <col min="10241" max="10241" width="14.140625" customWidth="1"/>
    <col min="10242" max="10242" width="20.85546875" customWidth="1"/>
    <col min="10497" max="10497" width="14.140625" customWidth="1"/>
    <col min="10498" max="10498" width="20.85546875" customWidth="1"/>
    <col min="10753" max="10753" width="14.140625" customWidth="1"/>
    <col min="10754" max="10754" width="20.85546875" customWidth="1"/>
    <col min="11009" max="11009" width="14.140625" customWidth="1"/>
    <col min="11010" max="11010" width="20.85546875" customWidth="1"/>
    <col min="11265" max="11265" width="14.140625" customWidth="1"/>
    <col min="11266" max="11266" width="20.85546875" customWidth="1"/>
    <col min="11521" max="11521" width="14.140625" customWidth="1"/>
    <col min="11522" max="11522" width="20.85546875" customWidth="1"/>
    <col min="11777" max="11777" width="14.140625" customWidth="1"/>
    <col min="11778" max="11778" width="20.85546875" customWidth="1"/>
    <col min="12033" max="12033" width="14.140625" customWidth="1"/>
    <col min="12034" max="12034" width="20.85546875" customWidth="1"/>
    <col min="12289" max="12289" width="14.140625" customWidth="1"/>
    <col min="12290" max="12290" width="20.85546875" customWidth="1"/>
    <col min="12545" max="12545" width="14.140625" customWidth="1"/>
    <col min="12546" max="12546" width="20.85546875" customWidth="1"/>
    <col min="12801" max="12801" width="14.140625" customWidth="1"/>
    <col min="12802" max="12802" width="20.85546875" customWidth="1"/>
    <col min="13057" max="13057" width="14.140625" customWidth="1"/>
    <col min="13058" max="13058" width="20.85546875" customWidth="1"/>
    <col min="13313" max="13313" width="14.140625" customWidth="1"/>
    <col min="13314" max="13314" width="20.85546875" customWidth="1"/>
    <col min="13569" max="13569" width="14.140625" customWidth="1"/>
    <col min="13570" max="13570" width="20.85546875" customWidth="1"/>
    <col min="13825" max="13825" width="14.140625" customWidth="1"/>
    <col min="13826" max="13826" width="20.85546875" customWidth="1"/>
    <col min="14081" max="14081" width="14.140625" customWidth="1"/>
    <col min="14082" max="14082" width="20.85546875" customWidth="1"/>
    <col min="14337" max="14337" width="14.140625" customWidth="1"/>
    <col min="14338" max="14338" width="20.85546875" customWidth="1"/>
    <col min="14593" max="14593" width="14.140625" customWidth="1"/>
    <col min="14594" max="14594" width="20.85546875" customWidth="1"/>
    <col min="14849" max="14849" width="14.140625" customWidth="1"/>
    <col min="14850" max="14850" width="20.85546875" customWidth="1"/>
    <col min="15105" max="15105" width="14.140625" customWidth="1"/>
    <col min="15106" max="15106" width="20.85546875" customWidth="1"/>
    <col min="15361" max="15361" width="14.140625" customWidth="1"/>
    <col min="15362" max="15362" width="20.85546875" customWidth="1"/>
    <col min="15617" max="15617" width="14.140625" customWidth="1"/>
    <col min="15618" max="15618" width="20.85546875" customWidth="1"/>
    <col min="15873" max="15873" width="14.140625" customWidth="1"/>
    <col min="15874" max="15874" width="20.85546875" customWidth="1"/>
    <col min="16129" max="16129" width="14.140625" customWidth="1"/>
    <col min="16130" max="16130" width="20.85546875" customWidth="1"/>
  </cols>
  <sheetData>
    <row r="1" spans="1:14" ht="15.75">
      <c r="A1" s="84" t="s">
        <v>152</v>
      </c>
      <c r="B1" s="85">
        <f>'PL 4'!C18*1000000</f>
        <v>73888837500</v>
      </c>
      <c r="C1" s="86"/>
      <c r="D1" s="87"/>
      <c r="E1" s="88"/>
      <c r="F1" s="87"/>
      <c r="G1" s="89"/>
      <c r="H1" s="89"/>
      <c r="I1" s="89"/>
      <c r="J1" s="89"/>
      <c r="K1" s="89"/>
      <c r="L1" s="89"/>
      <c r="M1" s="89"/>
      <c r="N1" s="89"/>
    </row>
    <row r="2" spans="1:14" ht="15.75">
      <c r="A2" s="84" t="s">
        <v>153</v>
      </c>
      <c r="B2" s="90" t="str">
        <f>B13</f>
        <v>Bảy mươi ba tỷ tám trăm tám mươi tám triệu tám trăm ba mươi bảy nghìn năm trăm</v>
      </c>
      <c r="C2" s="86"/>
      <c r="D2" s="87"/>
      <c r="E2" s="88"/>
      <c r="F2" s="87"/>
      <c r="G2" s="89"/>
      <c r="H2" s="89"/>
      <c r="I2" s="89"/>
      <c r="J2" s="89"/>
      <c r="K2" s="89"/>
      <c r="L2" s="89"/>
      <c r="M2" s="89"/>
      <c r="N2" s="89"/>
    </row>
    <row r="3" spans="1:14" ht="15.75">
      <c r="A3" s="84" t="s">
        <v>154</v>
      </c>
      <c r="B3" s="91" t="str">
        <f>B13&amp;" đồng./."</f>
        <v>Bảy mươi ba tỷ tám trăm tám mươi tám triệu tám trăm ba mươi bảy nghìn năm trăm đồng./.</v>
      </c>
      <c r="C3" s="86"/>
      <c r="D3" s="87"/>
      <c r="E3" s="88"/>
      <c r="F3" s="87"/>
      <c r="G3" s="89"/>
      <c r="H3" s="89"/>
      <c r="I3" s="89"/>
      <c r="J3" s="89"/>
      <c r="K3" s="89"/>
      <c r="L3" s="89"/>
      <c r="M3" s="89"/>
      <c r="N3" s="89"/>
    </row>
    <row r="4" spans="1:14">
      <c r="A4" s="89"/>
      <c r="B4" s="89"/>
      <c r="C4" s="86"/>
      <c r="D4" s="87"/>
      <c r="E4" s="88"/>
      <c r="F4" s="87"/>
      <c r="G4" s="89"/>
      <c r="H4" s="89"/>
      <c r="I4" s="89"/>
      <c r="J4" s="89"/>
      <c r="K4" s="89"/>
      <c r="L4" s="89"/>
      <c r="M4" s="89"/>
      <c r="N4" s="89"/>
    </row>
    <row r="5" spans="1:14">
      <c r="A5" s="89"/>
      <c r="B5" s="89"/>
      <c r="C5" s="86"/>
      <c r="D5" s="87"/>
      <c r="E5" s="88"/>
      <c r="F5" s="87"/>
      <c r="G5" s="89"/>
      <c r="H5" s="89"/>
      <c r="I5" s="89"/>
      <c r="J5" s="89"/>
      <c r="K5" s="89"/>
      <c r="L5" s="89"/>
      <c r="M5" s="89"/>
      <c r="N5" s="89"/>
    </row>
    <row r="6" spans="1:14">
      <c r="A6" s="89"/>
      <c r="B6" s="89"/>
      <c r="C6" s="86"/>
      <c r="D6" s="87"/>
      <c r="E6" s="88"/>
      <c r="F6" s="87"/>
      <c r="G6" s="89"/>
      <c r="H6" s="89"/>
      <c r="I6" s="89"/>
      <c r="J6" s="89"/>
      <c r="K6" s="89"/>
      <c r="L6" s="89"/>
      <c r="M6" s="89"/>
      <c r="N6" s="89"/>
    </row>
    <row r="7" spans="1:14">
      <c r="A7" s="89"/>
      <c r="B7" s="89"/>
      <c r="C7" s="86"/>
      <c r="D7" s="87"/>
      <c r="E7" s="88"/>
      <c r="F7" s="87"/>
      <c r="G7" s="89"/>
      <c r="H7" s="89"/>
      <c r="I7" s="89"/>
      <c r="J7" s="89"/>
      <c r="K7" s="89"/>
      <c r="L7" s="89"/>
      <c r="M7" s="89"/>
      <c r="N7" s="89"/>
    </row>
    <row r="8" spans="1:14">
      <c r="A8" s="92">
        <f>B1</f>
        <v>73888837500</v>
      </c>
      <c r="B8" s="93" t="str">
        <f>RIGHT("000000000000"&amp;ROUND(A8,0),12)</f>
        <v>073888837500</v>
      </c>
      <c r="C8" s="94">
        <v>1</v>
      </c>
      <c r="D8" s="94">
        <v>2</v>
      </c>
      <c r="E8" s="94">
        <v>3</v>
      </c>
      <c r="F8" s="95">
        <v>4</v>
      </c>
      <c r="G8" s="95">
        <v>5</v>
      </c>
      <c r="H8" s="95">
        <v>6</v>
      </c>
      <c r="I8" s="96">
        <v>7</v>
      </c>
      <c r="J8" s="96">
        <v>8</v>
      </c>
      <c r="K8" s="96">
        <v>9</v>
      </c>
      <c r="L8" s="97">
        <v>10</v>
      </c>
      <c r="M8" s="97">
        <v>11</v>
      </c>
      <c r="N8" s="97">
        <v>12</v>
      </c>
    </row>
    <row r="9" spans="1:14">
      <c r="A9" s="98"/>
      <c r="B9" s="99"/>
      <c r="C9" s="100">
        <f>VALUE(MID(B8,C8,1))</f>
        <v>0</v>
      </c>
      <c r="D9" s="100">
        <f>VALUE(MID(B8,D8,1))</f>
        <v>7</v>
      </c>
      <c r="E9" s="100">
        <f>VALUE(MID(B8,E8,1))</f>
        <v>3</v>
      </c>
      <c r="F9" s="101">
        <f>VALUE(MID(B8,F8,1))</f>
        <v>8</v>
      </c>
      <c r="G9" s="101">
        <f>VALUE(MID(B8,G8,1))</f>
        <v>8</v>
      </c>
      <c r="H9" s="101">
        <f>VALUE(MID(B8,H8,1))</f>
        <v>8</v>
      </c>
      <c r="I9" s="102">
        <f>VALUE(MID(B8,I8,1))</f>
        <v>8</v>
      </c>
      <c r="J9" s="102">
        <f>VALUE(MID(B8,J8,1))</f>
        <v>3</v>
      </c>
      <c r="K9" s="102">
        <f>VALUE(MID(B8,K8,1))</f>
        <v>7</v>
      </c>
      <c r="L9" s="103">
        <f>VALUE(MID(B8,L8,1))</f>
        <v>5</v>
      </c>
      <c r="M9" s="103">
        <f>VALUE(MID(B8,M8,1))</f>
        <v>0</v>
      </c>
      <c r="N9" s="103">
        <f>VALUE(MID(B8,N8,1))</f>
        <v>0</v>
      </c>
    </row>
    <row r="10" spans="1:14">
      <c r="A10" s="98"/>
      <c r="B10" s="99"/>
      <c r="C10" s="100">
        <f>SUM(C9)</f>
        <v>0</v>
      </c>
      <c r="D10" s="100">
        <f>SUM(C9:D9)</f>
        <v>7</v>
      </c>
      <c r="E10" s="100">
        <f>SUM(C9:E9)</f>
        <v>10</v>
      </c>
      <c r="F10" s="101">
        <f>SUM(C9:F9)</f>
        <v>18</v>
      </c>
      <c r="G10" s="101">
        <f>SUM(F9:G9)</f>
        <v>16</v>
      </c>
      <c r="H10" s="101">
        <f>SUM(F9:H9)</f>
        <v>24</v>
      </c>
      <c r="I10" s="102">
        <f>SUM(C9:I9)</f>
        <v>42</v>
      </c>
      <c r="J10" s="102">
        <f>SUM(I9:J9)</f>
        <v>11</v>
      </c>
      <c r="K10" s="102">
        <f>SUM(I9:K9)</f>
        <v>18</v>
      </c>
      <c r="L10" s="103">
        <f>SUM(C9:L9)</f>
        <v>57</v>
      </c>
      <c r="M10" s="103">
        <f>SUM(L9:M9)</f>
        <v>5</v>
      </c>
      <c r="N10" s="103">
        <f>SUM(L9:N9)</f>
        <v>5</v>
      </c>
    </row>
    <row r="11" spans="1:14">
      <c r="A11" s="104"/>
      <c r="B11" s="99"/>
      <c r="C11" s="105" t="str">
        <f>IF(C9=0,"",CHOOSE(C9,"một","hai","ba","bốn","năm","sáu","bảy","tám","chín"))</f>
        <v/>
      </c>
      <c r="D11" s="105" t="str">
        <f>IF(D9=0,IF(AND(C9&lt;&gt;0,E9&lt;&gt;0),"lẻ",""),CHOOSE(D9,"mười","hai","ba","bốn","năm","sáu","bảy","tám","chín"))</f>
        <v>bảy</v>
      </c>
      <c r="E11" s="105" t="str">
        <f>IF(E9=0,"",CHOOSE(E9,IF(D9&gt;1,"mốt","một"),"hai","ba","bốn",IF(D9=0,"năm","lăm"),"sáu","bảy","tám","chín"))</f>
        <v>ba</v>
      </c>
      <c r="F11" s="106" t="str">
        <f>IF(F9=0,IF(F10=0,"",IF(SUM(G9:H9)=0,"","không")),CHOOSE(F9,"một","hai","ba","bốn","năm","sáu","bảy","tám","chín"))</f>
        <v>tám</v>
      </c>
      <c r="G11" s="106" t="str">
        <f>IF(G9=0,IF(AND(F11&lt;&gt;"",H9&lt;&gt;0),"lẻ",""),CHOOSE(G9,"mười","hai","ba","bốn","năm","sáu","bảy","tám","chín"))</f>
        <v>tám</v>
      </c>
      <c r="H11" s="106" t="str">
        <f>IF(H9=0,"",CHOOSE(H9,IF(G9&gt;1,"mốt","một"),"hai","ba","bốn",IF(G9=0,"năm","lăm"),"sáu","bảy","tám","chín"))</f>
        <v>tám</v>
      </c>
      <c r="I11" s="107" t="str">
        <f>IF(I9=0,IF(I10=0,"",IF(SUM(J9:K9)=0,"","không")),CHOOSE(I9,"một","hai","ba","bốn","năm","sáu","bảy","tám","chín"))</f>
        <v>tám</v>
      </c>
      <c r="J11" s="107" t="str">
        <f>IF(J9=0,IF(AND(I11&lt;&gt;"",K9&lt;&gt;0),"lẻ",""),CHOOSE(J9,"mười","hai","ba","bốn","năm","sáu","bảy","tám","chín"))</f>
        <v>ba</v>
      </c>
      <c r="K11" s="107" t="str">
        <f>IF(K9=0,"",CHOOSE(K9,IF(J9&gt;1,"mốt","một"),"hai","ba","bốn",IF(J9=0,"năm","lăm"),"sáu","bảy","tám","chín"))</f>
        <v>bảy</v>
      </c>
      <c r="L11" s="108" t="str">
        <f>IF(L9=0,IF(L10=0,"",IF(SUM(M9:N9)=0,"","không")),CHOOSE(L9,"một","hai","ba","bốn","năm","sáu","bảy","tám","chín"))</f>
        <v>năm</v>
      </c>
      <c r="M11" s="108" t="str">
        <f>IF(M9=0,IF(AND(L11&lt;&gt;"",N9&lt;&gt;0),"lẻ",""),CHOOSE(M9,"mười","hai","ba","bốn","năm","sáu","bảy","tám","chín"))</f>
        <v/>
      </c>
      <c r="N11" s="108" t="str">
        <f>IF(N9=0,"",CHOOSE(N9,IF(M9&gt;1,"mốt","một"),"hai","ba","bốn",IF(M9=0,"năm","lăm"),"sáu","bảy","tám","chín"))</f>
        <v/>
      </c>
    </row>
    <row r="12" spans="1:14">
      <c r="A12" s="98"/>
      <c r="B12" s="99"/>
      <c r="C12" s="105" t="str">
        <f>IF(C9=0,"","trăm")</f>
        <v/>
      </c>
      <c r="D12" s="105" t="str">
        <f>IF(D9=0,"",IF(D9=1,"","mươi"))</f>
        <v>mươi</v>
      </c>
      <c r="E12" s="105" t="str">
        <f>IF(AND(E9=0,E10=0),"","tỷ")</f>
        <v>tỷ</v>
      </c>
      <c r="F12" s="106" t="str">
        <f>IF(F9=0,IF(F10=0,"",IF(SUM(G9:H9)=0,"","trăm")),"trăm")</f>
        <v>trăm</v>
      </c>
      <c r="G12" s="106" t="str">
        <f>IF(G9=0,"",IF(G9=1,"","mươi"))</f>
        <v>mươi</v>
      </c>
      <c r="H12" s="106" t="str">
        <f>IF(AND(H9=0,H10=0),"","triệu")</f>
        <v>triệu</v>
      </c>
      <c r="I12" s="107" t="str">
        <f>IF(I9=0,IF(I10=0,"",IF(SUM(J9:K9)=0,"","trăm")),"trăm")</f>
        <v>trăm</v>
      </c>
      <c r="J12" s="107" t="str">
        <f>IF(J9=0,"",IF(J9=1,"","mươi"))</f>
        <v>mươi</v>
      </c>
      <c r="K12" s="107" t="str">
        <f>IF(AND(K9=0,K10=0),"","nghìn")</f>
        <v>nghìn</v>
      </c>
      <c r="L12" s="108" t="str">
        <f>IF(L9=0,IF(L10=0,"",IF(SUM(M9:N9)=0,"","trăm")),"trăm")</f>
        <v>trăm</v>
      </c>
      <c r="M12" s="108" t="str">
        <f>IF(M9=0,"",IF(M9=1,"","mươi"))</f>
        <v/>
      </c>
      <c r="N12" s="108"/>
    </row>
    <row r="13" spans="1:14">
      <c r="A13" s="98"/>
      <c r="B13" s="109" t="str">
        <f>UPPER(LEFT(TRIM(IF(A8=0,"không",C11&amp;" "&amp;C12&amp;" "&amp;D11&amp;" "&amp;D12&amp;" "&amp;E11&amp;" "&amp;E12&amp;" "&amp;F11&amp;" "&amp;F12&amp;" "&amp;G11&amp;" "&amp;G12&amp;" "&amp;H11&amp;" "&amp;H12&amp;" "&amp;I11&amp;" "&amp;I12&amp;" "&amp;J11&amp;" "&amp;J12&amp;" "&amp;K11&amp;" "&amp;K12&amp;" "&amp;L11&amp;" "&amp;L12&amp;" "&amp;M11&amp;" "&amp;M12&amp;" "&amp;N11&amp;" "&amp;N12)),1))&amp;RIGHT(TRIM(IF(A8=0,"không",C11&amp;" "&amp;C12&amp;" "&amp;D11&amp;" "&amp;D12&amp;" "&amp;E11&amp;" "&amp;E12&amp;" "&amp;F11&amp;" "&amp;F12&amp;" "&amp;G11&amp;" "&amp;G12&amp;" "&amp;H11&amp;" "&amp;H12&amp;" "&amp;I11&amp;" "&amp;I12&amp;" "&amp;J11&amp;" "&amp;J12&amp;" "&amp;K11&amp;" "&amp;K12&amp;" "&amp;L11&amp;" "&amp;L12&amp;" "&amp;M11&amp;" "&amp;M12&amp;" "&amp;N11&amp;" "&amp;N12)),LEN(TRIM(IF(A8=0,"không",C11&amp;" "&amp;C12&amp;" "&amp;D11&amp;" "&amp;D12&amp;" "&amp;E11&amp;" "&amp;E12&amp;" "&amp;F11&amp;" "&amp;F12&amp;" "&amp;G11&amp;" "&amp;G12&amp;" "&amp;H11&amp;" "&amp;H12&amp;" "&amp;I11&amp;" "&amp;I12&amp;" "&amp;J11&amp;" "&amp;J12&amp;" "&amp;K11&amp;" "&amp;K12&amp;" "&amp;L11&amp;" "&amp;L12&amp;" "&amp;M11&amp;" "&amp;M12&amp;" "&amp;N11&amp;" "&amp;N12)))-1)</f>
        <v>Bảy mươi ba tỷ tám trăm tám mươi tám triệu tám trăm ba mươi bảy nghìn năm trăm</v>
      </c>
      <c r="C13" s="89"/>
      <c r="D13" s="89"/>
      <c r="E13" s="89"/>
      <c r="F13" s="89"/>
      <c r="G13" s="89"/>
      <c r="H13" s="89"/>
      <c r="I13" s="89"/>
      <c r="J13" s="89"/>
      <c r="K13" s="89"/>
      <c r="L13" s="89"/>
      <c r="M13" s="89"/>
      <c r="N13" s="89"/>
    </row>
    <row r="16" spans="1:14" ht="15.75">
      <c r="A16" s="84" t="s">
        <v>152</v>
      </c>
      <c r="B16" s="85">
        <f>'PL 4'!C35*1000000</f>
        <v>76305775000</v>
      </c>
      <c r="C16" s="86"/>
      <c r="D16" s="87"/>
      <c r="E16" s="88"/>
      <c r="F16" s="87"/>
      <c r="G16" s="89"/>
      <c r="H16" s="89"/>
      <c r="I16" s="89"/>
      <c r="J16" s="89"/>
      <c r="K16" s="89"/>
      <c r="L16" s="89"/>
      <c r="M16" s="89"/>
      <c r="N16" s="89"/>
    </row>
    <row r="17" spans="1:14" ht="15.75">
      <c r="A17" s="84" t="s">
        <v>153</v>
      </c>
      <c r="B17" s="90" t="str">
        <f>B28</f>
        <v>Bảy mươi sáu tỷ ba trăm lẻ năm triệu bảy trăm bảy mươi lăm nghìn</v>
      </c>
      <c r="C17" s="86"/>
      <c r="D17" s="87"/>
      <c r="E17" s="88"/>
      <c r="F17" s="87"/>
      <c r="G17" s="89"/>
      <c r="H17" s="89"/>
      <c r="I17" s="89"/>
      <c r="J17" s="89"/>
      <c r="K17" s="89"/>
      <c r="L17" s="89"/>
      <c r="M17" s="89"/>
      <c r="N17" s="89"/>
    </row>
    <row r="18" spans="1:14" ht="15.75">
      <c r="A18" s="84" t="s">
        <v>154</v>
      </c>
      <c r="B18" s="91" t="str">
        <f>B28&amp;" đồng./."</f>
        <v>Bảy mươi sáu tỷ ba trăm lẻ năm triệu bảy trăm bảy mươi lăm nghìn đồng./.</v>
      </c>
      <c r="C18" s="86"/>
      <c r="D18" s="87"/>
      <c r="E18" s="88"/>
      <c r="F18" s="87"/>
      <c r="G18" s="89"/>
      <c r="H18" s="89"/>
      <c r="I18" s="89"/>
      <c r="J18" s="89"/>
      <c r="K18" s="89"/>
      <c r="L18" s="89"/>
      <c r="M18" s="89"/>
      <c r="N18" s="89"/>
    </row>
    <row r="19" spans="1:14">
      <c r="A19" s="89"/>
      <c r="B19" s="89"/>
      <c r="C19" s="86"/>
      <c r="D19" s="87"/>
      <c r="E19" s="88"/>
      <c r="F19" s="87"/>
      <c r="G19" s="89"/>
      <c r="H19" s="89"/>
      <c r="I19" s="89"/>
      <c r="J19" s="89"/>
      <c r="K19" s="89"/>
      <c r="L19" s="89"/>
      <c r="M19" s="89"/>
      <c r="N19" s="89"/>
    </row>
    <row r="20" spans="1:14">
      <c r="A20" s="89"/>
      <c r="B20" s="89"/>
      <c r="C20" s="86"/>
      <c r="D20" s="87"/>
      <c r="E20" s="88"/>
      <c r="F20" s="87"/>
      <c r="G20" s="89"/>
      <c r="H20" s="89"/>
      <c r="I20" s="89"/>
      <c r="J20" s="89"/>
      <c r="K20" s="89"/>
      <c r="L20" s="89"/>
      <c r="M20" s="89"/>
      <c r="N20" s="89"/>
    </row>
    <row r="21" spans="1:14">
      <c r="A21" s="89"/>
      <c r="B21" s="89"/>
      <c r="C21" s="86"/>
      <c r="D21" s="87"/>
      <c r="E21" s="88"/>
      <c r="F21" s="87"/>
      <c r="G21" s="89"/>
      <c r="H21" s="89"/>
      <c r="I21" s="89"/>
      <c r="J21" s="89"/>
      <c r="K21" s="89"/>
      <c r="L21" s="89"/>
      <c r="M21" s="89"/>
      <c r="N21" s="89"/>
    </row>
    <row r="22" spans="1:14">
      <c r="A22" s="89"/>
      <c r="B22" s="89"/>
      <c r="C22" s="86"/>
      <c r="D22" s="87"/>
      <c r="E22" s="88"/>
      <c r="F22" s="87"/>
      <c r="G22" s="89"/>
      <c r="H22" s="89"/>
      <c r="I22" s="89"/>
      <c r="J22" s="89"/>
      <c r="K22" s="89"/>
      <c r="L22" s="89"/>
      <c r="M22" s="89"/>
      <c r="N22" s="89"/>
    </row>
    <row r="23" spans="1:14">
      <c r="A23" s="92">
        <f>B16</f>
        <v>76305775000</v>
      </c>
      <c r="B23" s="93" t="str">
        <f>RIGHT("000000000000"&amp;ROUND(A23,0),12)</f>
        <v>076305775000</v>
      </c>
      <c r="C23" s="94">
        <v>1</v>
      </c>
      <c r="D23" s="94">
        <v>2</v>
      </c>
      <c r="E23" s="94">
        <v>3</v>
      </c>
      <c r="F23" s="95">
        <v>4</v>
      </c>
      <c r="G23" s="95">
        <v>5</v>
      </c>
      <c r="H23" s="95">
        <v>6</v>
      </c>
      <c r="I23" s="96">
        <v>7</v>
      </c>
      <c r="J23" s="96">
        <v>8</v>
      </c>
      <c r="K23" s="96">
        <v>9</v>
      </c>
      <c r="L23" s="97">
        <v>10</v>
      </c>
      <c r="M23" s="97">
        <v>11</v>
      </c>
      <c r="N23" s="97">
        <v>12</v>
      </c>
    </row>
    <row r="24" spans="1:14">
      <c r="A24" s="98"/>
      <c r="B24" s="99"/>
      <c r="C24" s="100">
        <f>VALUE(MID(B23,C23,1))</f>
        <v>0</v>
      </c>
      <c r="D24" s="100">
        <f>VALUE(MID(B23,D23,1))</f>
        <v>7</v>
      </c>
      <c r="E24" s="100">
        <f>VALUE(MID(B23,E23,1))</f>
        <v>6</v>
      </c>
      <c r="F24" s="101">
        <f>VALUE(MID(B23,F23,1))</f>
        <v>3</v>
      </c>
      <c r="G24" s="101">
        <f>VALUE(MID(B23,G23,1))</f>
        <v>0</v>
      </c>
      <c r="H24" s="101">
        <f>VALUE(MID(B23,H23,1))</f>
        <v>5</v>
      </c>
      <c r="I24" s="102">
        <f>VALUE(MID(B23,I23,1))</f>
        <v>7</v>
      </c>
      <c r="J24" s="102">
        <f>VALUE(MID(B23,J23,1))</f>
        <v>7</v>
      </c>
      <c r="K24" s="102">
        <f>VALUE(MID(B23,K23,1))</f>
        <v>5</v>
      </c>
      <c r="L24" s="103">
        <f>VALUE(MID(B23,L23,1))</f>
        <v>0</v>
      </c>
      <c r="M24" s="103">
        <f>VALUE(MID(B23,M23,1))</f>
        <v>0</v>
      </c>
      <c r="N24" s="103">
        <f>VALUE(MID(B23,N23,1))</f>
        <v>0</v>
      </c>
    </row>
    <row r="25" spans="1:14">
      <c r="A25" s="98"/>
      <c r="B25" s="99"/>
      <c r="C25" s="100">
        <f>SUM(C24)</f>
        <v>0</v>
      </c>
      <c r="D25" s="100">
        <f>SUM(C24:D24)</f>
        <v>7</v>
      </c>
      <c r="E25" s="100">
        <f>SUM(C24:E24)</f>
        <v>13</v>
      </c>
      <c r="F25" s="101">
        <f>SUM(C24:F24)</f>
        <v>16</v>
      </c>
      <c r="G25" s="101">
        <f>SUM(F24:G24)</f>
        <v>3</v>
      </c>
      <c r="H25" s="101">
        <f>SUM(F24:H24)</f>
        <v>8</v>
      </c>
      <c r="I25" s="102">
        <f>SUM(C24:I24)</f>
        <v>28</v>
      </c>
      <c r="J25" s="102">
        <f>SUM(I24:J24)</f>
        <v>14</v>
      </c>
      <c r="K25" s="102">
        <f>SUM(I24:K24)</f>
        <v>19</v>
      </c>
      <c r="L25" s="103">
        <f>SUM(C24:L24)</f>
        <v>40</v>
      </c>
      <c r="M25" s="103">
        <f>SUM(L24:M24)</f>
        <v>0</v>
      </c>
      <c r="N25" s="103">
        <f>SUM(L24:N24)</f>
        <v>0</v>
      </c>
    </row>
    <row r="26" spans="1:14">
      <c r="A26" s="104"/>
      <c r="B26" s="99"/>
      <c r="C26" s="105" t="str">
        <f>IF(C24=0,"",CHOOSE(C24,"một","hai","ba","bốn","năm","sáu","bảy","tám","chín"))</f>
        <v/>
      </c>
      <c r="D26" s="105" t="str">
        <f>IF(D24=0,IF(AND(C24&lt;&gt;0,E24&lt;&gt;0),"lẻ",""),CHOOSE(D24,"mười","hai","ba","bốn","năm","sáu","bảy","tám","chín"))</f>
        <v>bảy</v>
      </c>
      <c r="E26" s="105" t="str">
        <f>IF(E24=0,"",CHOOSE(E24,IF(D24&gt;1,"mốt","một"),"hai","ba","bốn",IF(D24=0,"năm","lăm"),"sáu","bảy","tám","chín"))</f>
        <v>sáu</v>
      </c>
      <c r="F26" s="106" t="str">
        <f>IF(F24=0,IF(F25=0,"",IF(SUM(G24:H24)=0,"","không")),CHOOSE(F24,"một","hai","ba","bốn","năm","sáu","bảy","tám","chín"))</f>
        <v>ba</v>
      </c>
      <c r="G26" s="106" t="str">
        <f>IF(G24=0,IF(AND(F26&lt;&gt;"",H24&lt;&gt;0),"lẻ",""),CHOOSE(G24,"mười","hai","ba","bốn","năm","sáu","bảy","tám","chín"))</f>
        <v>lẻ</v>
      </c>
      <c r="H26" s="106" t="str">
        <f>IF(H24=0,"",CHOOSE(H24,IF(G24&gt;1,"mốt","một"),"hai","ba","bốn",IF(G24=0,"năm","lăm"),"sáu","bảy","tám","chín"))</f>
        <v>năm</v>
      </c>
      <c r="I26" s="107" t="str">
        <f>IF(I24=0,IF(I25=0,"",IF(SUM(J24:K24)=0,"","không")),CHOOSE(I24,"một","hai","ba","bốn","năm","sáu","bảy","tám","chín"))</f>
        <v>bảy</v>
      </c>
      <c r="J26" s="107" t="str">
        <f>IF(J24=0,IF(AND(I26&lt;&gt;"",K24&lt;&gt;0),"lẻ",""),CHOOSE(J24,"mười","hai","ba","bốn","năm","sáu","bảy","tám","chín"))</f>
        <v>bảy</v>
      </c>
      <c r="K26" s="107" t="str">
        <f>IF(K24=0,"",CHOOSE(K24,IF(J24&gt;1,"mốt","một"),"hai","ba","bốn",IF(J24=0,"năm","lăm"),"sáu","bảy","tám","chín"))</f>
        <v>lăm</v>
      </c>
      <c r="L26" s="108" t="str">
        <f>IF(L24=0,IF(L25=0,"",IF(SUM(M24:N24)=0,"","không")),CHOOSE(L24,"một","hai","ba","bốn","năm","sáu","bảy","tám","chín"))</f>
        <v/>
      </c>
      <c r="M26" s="108" t="str">
        <f>IF(M24=0,IF(AND(L26&lt;&gt;"",N24&lt;&gt;0),"lẻ",""),CHOOSE(M24,"mười","hai","ba","bốn","năm","sáu","bảy","tám","chín"))</f>
        <v/>
      </c>
      <c r="N26" s="108" t="str">
        <f>IF(N24=0,"",CHOOSE(N24,IF(M24&gt;1,"mốt","một"),"hai","ba","bốn",IF(M24=0,"năm","lăm"),"sáu","bảy","tám","chín"))</f>
        <v/>
      </c>
    </row>
    <row r="27" spans="1:14">
      <c r="A27" s="98"/>
      <c r="B27" s="99"/>
      <c r="C27" s="105" t="str">
        <f>IF(C24=0,"","trăm")</f>
        <v/>
      </c>
      <c r="D27" s="105" t="str">
        <f>IF(D24=0,"",IF(D24=1,"","mươi"))</f>
        <v>mươi</v>
      </c>
      <c r="E27" s="105" t="str">
        <f>IF(AND(E24=0,E25=0),"","tỷ")</f>
        <v>tỷ</v>
      </c>
      <c r="F27" s="106" t="str">
        <f>IF(F24=0,IF(F25=0,"",IF(SUM(G24:H24)=0,"","trăm")),"trăm")</f>
        <v>trăm</v>
      </c>
      <c r="G27" s="106" t="str">
        <f>IF(G24=0,"",IF(G24=1,"","mươi"))</f>
        <v/>
      </c>
      <c r="H27" s="106" t="str">
        <f>IF(AND(H24=0,H25=0),"","triệu")</f>
        <v>triệu</v>
      </c>
      <c r="I27" s="107" t="str">
        <f>IF(I24=0,IF(I25=0,"",IF(SUM(J24:K24)=0,"","trăm")),"trăm")</f>
        <v>trăm</v>
      </c>
      <c r="J27" s="107" t="str">
        <f>IF(J24=0,"",IF(J24=1,"","mươi"))</f>
        <v>mươi</v>
      </c>
      <c r="K27" s="107" t="str">
        <f>IF(AND(K24=0,K25=0),"","nghìn")</f>
        <v>nghìn</v>
      </c>
      <c r="L27" s="108" t="str">
        <f>IF(L24=0,IF(L25=0,"",IF(SUM(M24:N24)=0,"","trăm")),"trăm")</f>
        <v/>
      </c>
      <c r="M27" s="108" t="str">
        <f>IF(M24=0,"",IF(M24=1,"","mươi"))</f>
        <v/>
      </c>
      <c r="N27" s="108"/>
    </row>
    <row r="28" spans="1:14">
      <c r="A28" s="98"/>
      <c r="B28" s="109" t="str">
        <f>UPPER(LEFT(TRIM(IF(A23=0,"không",C26&amp;" "&amp;C27&amp;" "&amp;D26&amp;" "&amp;D27&amp;" "&amp;E26&amp;" "&amp;E27&amp;" "&amp;F26&amp;" "&amp;F27&amp;" "&amp;G26&amp;" "&amp;G27&amp;" "&amp;H26&amp;" "&amp;H27&amp;" "&amp;I26&amp;" "&amp;I27&amp;" "&amp;J26&amp;" "&amp;J27&amp;" "&amp;K26&amp;" "&amp;K27&amp;" "&amp;L26&amp;" "&amp;L27&amp;" "&amp;M26&amp;" "&amp;M27&amp;" "&amp;N26&amp;" "&amp;N27)),1))&amp;RIGHT(TRIM(IF(A23=0,"không",C26&amp;" "&amp;C27&amp;" "&amp;D26&amp;" "&amp;D27&amp;" "&amp;E26&amp;" "&amp;E27&amp;" "&amp;F26&amp;" "&amp;F27&amp;" "&amp;G26&amp;" "&amp;G27&amp;" "&amp;H26&amp;" "&amp;H27&amp;" "&amp;I26&amp;" "&amp;I27&amp;" "&amp;J26&amp;" "&amp;J27&amp;" "&amp;K26&amp;" "&amp;K27&amp;" "&amp;L26&amp;" "&amp;L27&amp;" "&amp;M26&amp;" "&amp;M27&amp;" "&amp;N26&amp;" "&amp;N27)),LEN(TRIM(IF(A23=0,"không",C26&amp;" "&amp;C27&amp;" "&amp;D26&amp;" "&amp;D27&amp;" "&amp;E26&amp;" "&amp;E27&amp;" "&amp;F26&amp;" "&amp;F27&amp;" "&amp;G26&amp;" "&amp;G27&amp;" "&amp;H26&amp;" "&amp;H27&amp;" "&amp;I26&amp;" "&amp;I27&amp;" "&amp;J26&amp;" "&amp;J27&amp;" "&amp;K26&amp;" "&amp;K27&amp;" "&amp;L26&amp;" "&amp;L27&amp;" "&amp;M26&amp;" "&amp;M27&amp;" "&amp;N26&amp;" "&amp;N27)))-1)</f>
        <v>Bảy mươi sáu tỷ ba trăm lẻ năm triệu bảy trăm bảy mươi lăm nghìn</v>
      </c>
      <c r="C28" s="89"/>
      <c r="D28" s="89"/>
      <c r="E28" s="89"/>
      <c r="F28" s="89"/>
      <c r="G28" s="89"/>
      <c r="H28" s="89"/>
      <c r="I28" s="89"/>
      <c r="J28" s="89"/>
      <c r="K28" s="89"/>
      <c r="L28" s="89"/>
      <c r="M28" s="89"/>
      <c r="N28" s="89"/>
    </row>
    <row r="32" spans="1:14" ht="15.75">
      <c r="A32" s="84" t="s">
        <v>152</v>
      </c>
      <c r="B32" s="85">
        <f>'PL 4'!C54*1000000</f>
        <v>88902087500</v>
      </c>
      <c r="C32" s="86"/>
      <c r="D32" s="87"/>
      <c r="E32" s="88"/>
      <c r="F32" s="87"/>
      <c r="G32" s="89"/>
      <c r="H32" s="89"/>
      <c r="I32" s="89"/>
      <c r="J32" s="89"/>
      <c r="K32" s="89"/>
      <c r="L32" s="89"/>
      <c r="M32" s="89"/>
      <c r="N32" s="89"/>
    </row>
    <row r="33" spans="1:14" ht="15.75">
      <c r="A33" s="84" t="s">
        <v>153</v>
      </c>
      <c r="B33" s="90" t="str">
        <f>B44</f>
        <v>Tám mươi tám tỷ chín trăm lẻ hai triệu không trăm tám mươi bảy nghìn năm trăm</v>
      </c>
      <c r="C33" s="86"/>
      <c r="D33" s="87"/>
      <c r="E33" s="88"/>
      <c r="F33" s="87"/>
      <c r="G33" s="89"/>
      <c r="H33" s="89"/>
      <c r="I33" s="89"/>
      <c r="J33" s="89"/>
      <c r="K33" s="89"/>
      <c r="L33" s="89"/>
      <c r="M33" s="89"/>
      <c r="N33" s="89"/>
    </row>
    <row r="34" spans="1:14" ht="15.75">
      <c r="A34" s="84" t="s">
        <v>154</v>
      </c>
      <c r="B34" s="91" t="str">
        <f>B44&amp;" đồng./."</f>
        <v>Tám mươi tám tỷ chín trăm lẻ hai triệu không trăm tám mươi bảy nghìn năm trăm đồng./.</v>
      </c>
      <c r="C34" s="86"/>
      <c r="D34" s="87"/>
      <c r="E34" s="88"/>
      <c r="F34" s="87"/>
      <c r="G34" s="89"/>
      <c r="H34" s="89"/>
      <c r="I34" s="89"/>
      <c r="J34" s="89"/>
      <c r="K34" s="89"/>
      <c r="L34" s="89"/>
      <c r="M34" s="89"/>
      <c r="N34" s="89"/>
    </row>
    <row r="35" spans="1:14">
      <c r="A35" s="89"/>
      <c r="B35" s="89"/>
      <c r="C35" s="86"/>
      <c r="D35" s="87"/>
      <c r="E35" s="88"/>
      <c r="F35" s="87"/>
      <c r="G35" s="89"/>
      <c r="H35" s="89"/>
      <c r="I35" s="89"/>
      <c r="J35" s="89"/>
      <c r="K35" s="89"/>
      <c r="L35" s="89"/>
      <c r="M35" s="89"/>
      <c r="N35" s="89"/>
    </row>
    <row r="36" spans="1:14">
      <c r="A36" s="89"/>
      <c r="B36" s="89"/>
      <c r="C36" s="86"/>
      <c r="D36" s="87"/>
      <c r="E36" s="88"/>
      <c r="F36" s="87"/>
      <c r="G36" s="89"/>
      <c r="H36" s="89"/>
      <c r="I36" s="89"/>
      <c r="J36" s="89"/>
      <c r="K36" s="89"/>
      <c r="L36" s="89"/>
      <c r="M36" s="89"/>
      <c r="N36" s="89"/>
    </row>
    <row r="37" spans="1:14">
      <c r="A37" s="89"/>
      <c r="B37" s="89"/>
      <c r="C37" s="86"/>
      <c r="D37" s="87"/>
      <c r="E37" s="88"/>
      <c r="F37" s="87"/>
      <c r="G37" s="89"/>
      <c r="H37" s="89"/>
      <c r="I37" s="89"/>
      <c r="J37" s="89"/>
      <c r="K37" s="89"/>
      <c r="L37" s="89"/>
      <c r="M37" s="89"/>
      <c r="N37" s="89"/>
    </row>
    <row r="38" spans="1:14">
      <c r="A38" s="89"/>
      <c r="B38" s="89"/>
      <c r="C38" s="86"/>
      <c r="D38" s="87"/>
      <c r="E38" s="88"/>
      <c r="F38" s="87"/>
      <c r="G38" s="89"/>
      <c r="H38" s="89"/>
      <c r="I38" s="89"/>
      <c r="J38" s="89"/>
      <c r="K38" s="89"/>
      <c r="L38" s="89"/>
      <c r="M38" s="89"/>
      <c r="N38" s="89"/>
    </row>
    <row r="39" spans="1:14">
      <c r="A39" s="92">
        <f>B32</f>
        <v>88902087500</v>
      </c>
      <c r="B39" s="93" t="str">
        <f>RIGHT("000000000000"&amp;ROUND(A39,0),12)</f>
        <v>088902087500</v>
      </c>
      <c r="C39" s="94">
        <v>1</v>
      </c>
      <c r="D39" s="94">
        <v>2</v>
      </c>
      <c r="E39" s="94">
        <v>3</v>
      </c>
      <c r="F39" s="95">
        <v>4</v>
      </c>
      <c r="G39" s="95">
        <v>5</v>
      </c>
      <c r="H39" s="95">
        <v>6</v>
      </c>
      <c r="I39" s="96">
        <v>7</v>
      </c>
      <c r="J39" s="96">
        <v>8</v>
      </c>
      <c r="K39" s="96">
        <v>9</v>
      </c>
      <c r="L39" s="97">
        <v>10</v>
      </c>
      <c r="M39" s="97">
        <v>11</v>
      </c>
      <c r="N39" s="97">
        <v>12</v>
      </c>
    </row>
    <row r="40" spans="1:14">
      <c r="A40" s="98"/>
      <c r="B40" s="99"/>
      <c r="C40" s="100">
        <f>VALUE(MID(B39,C39,1))</f>
        <v>0</v>
      </c>
      <c r="D40" s="100">
        <f>VALUE(MID(B39,D39,1))</f>
        <v>8</v>
      </c>
      <c r="E40" s="100">
        <f>VALUE(MID(B39,E39,1))</f>
        <v>8</v>
      </c>
      <c r="F40" s="101">
        <f>VALUE(MID(B39,F39,1))</f>
        <v>9</v>
      </c>
      <c r="G40" s="101">
        <f>VALUE(MID(B39,G39,1))</f>
        <v>0</v>
      </c>
      <c r="H40" s="101">
        <f>VALUE(MID(B39,H39,1))</f>
        <v>2</v>
      </c>
      <c r="I40" s="102">
        <f>VALUE(MID(B39,I39,1))</f>
        <v>0</v>
      </c>
      <c r="J40" s="102">
        <f>VALUE(MID(B39,J39,1))</f>
        <v>8</v>
      </c>
      <c r="K40" s="102">
        <f>VALUE(MID(B39,K39,1))</f>
        <v>7</v>
      </c>
      <c r="L40" s="103">
        <f>VALUE(MID(B39,L39,1))</f>
        <v>5</v>
      </c>
      <c r="M40" s="103">
        <f>VALUE(MID(B39,M39,1))</f>
        <v>0</v>
      </c>
      <c r="N40" s="103">
        <f>VALUE(MID(B39,N39,1))</f>
        <v>0</v>
      </c>
    </row>
    <row r="41" spans="1:14">
      <c r="A41" s="98"/>
      <c r="B41" s="99"/>
      <c r="C41" s="100">
        <f>SUM(C40)</f>
        <v>0</v>
      </c>
      <c r="D41" s="100">
        <f>SUM(C40:D40)</f>
        <v>8</v>
      </c>
      <c r="E41" s="100">
        <f>SUM(C40:E40)</f>
        <v>16</v>
      </c>
      <c r="F41" s="101">
        <f>SUM(C40:F40)</f>
        <v>25</v>
      </c>
      <c r="G41" s="101">
        <f>SUM(F40:G40)</f>
        <v>9</v>
      </c>
      <c r="H41" s="101">
        <f>SUM(F40:H40)</f>
        <v>11</v>
      </c>
      <c r="I41" s="102">
        <f>SUM(C40:I40)</f>
        <v>27</v>
      </c>
      <c r="J41" s="102">
        <f>SUM(I40:J40)</f>
        <v>8</v>
      </c>
      <c r="K41" s="102">
        <f>SUM(I40:K40)</f>
        <v>15</v>
      </c>
      <c r="L41" s="103">
        <f>SUM(C40:L40)</f>
        <v>47</v>
      </c>
      <c r="M41" s="103">
        <f>SUM(L40:M40)</f>
        <v>5</v>
      </c>
      <c r="N41" s="103">
        <f>SUM(L40:N40)</f>
        <v>5</v>
      </c>
    </row>
    <row r="42" spans="1:14">
      <c r="A42" s="104"/>
      <c r="B42" s="99"/>
      <c r="C42" s="105" t="str">
        <f>IF(C40=0,"",CHOOSE(C40,"một","hai","ba","bốn","năm","sáu","bảy","tám","chín"))</f>
        <v/>
      </c>
      <c r="D42" s="105" t="str">
        <f>IF(D40=0,IF(AND(C40&lt;&gt;0,E40&lt;&gt;0),"lẻ",""),CHOOSE(D40,"mười","hai","ba","bốn","năm","sáu","bảy","tám","chín"))</f>
        <v>tám</v>
      </c>
      <c r="E42" s="105" t="str">
        <f>IF(E40=0,"",CHOOSE(E40,IF(D40&gt;1,"mốt","một"),"hai","ba","bốn",IF(D40=0,"năm","lăm"),"sáu","bảy","tám","chín"))</f>
        <v>tám</v>
      </c>
      <c r="F42" s="106" t="str">
        <f>IF(F40=0,IF(F41=0,"",IF(SUM(G40:H40)=0,"","không")),CHOOSE(F40,"một","hai","ba","bốn","năm","sáu","bảy","tám","chín"))</f>
        <v>chín</v>
      </c>
      <c r="G42" s="106" t="str">
        <f>IF(G40=0,IF(AND(F42&lt;&gt;"",H40&lt;&gt;0),"lẻ",""),CHOOSE(G40,"mười","hai","ba","bốn","năm","sáu","bảy","tám","chín"))</f>
        <v>lẻ</v>
      </c>
      <c r="H42" s="106" t="str">
        <f>IF(H40=0,"",CHOOSE(H40,IF(G40&gt;1,"mốt","một"),"hai","ba","bốn",IF(G40=0,"năm","lăm"),"sáu","bảy","tám","chín"))</f>
        <v>hai</v>
      </c>
      <c r="I42" s="107" t="str">
        <f>IF(I40=0,IF(I41=0,"",IF(SUM(J40:K40)=0,"","không")),CHOOSE(I40,"một","hai","ba","bốn","năm","sáu","bảy","tám","chín"))</f>
        <v>không</v>
      </c>
      <c r="J42" s="107" t="str">
        <f>IF(J40=0,IF(AND(I42&lt;&gt;"",K40&lt;&gt;0),"lẻ",""),CHOOSE(J40,"mười","hai","ba","bốn","năm","sáu","bảy","tám","chín"))</f>
        <v>tám</v>
      </c>
      <c r="K42" s="107" t="str">
        <f>IF(K40=0,"",CHOOSE(K40,IF(J40&gt;1,"mốt","một"),"hai","ba","bốn",IF(J40=0,"năm","lăm"),"sáu","bảy","tám","chín"))</f>
        <v>bảy</v>
      </c>
      <c r="L42" s="108" t="str">
        <f>IF(L40=0,IF(L41=0,"",IF(SUM(M40:N40)=0,"","không")),CHOOSE(L40,"một","hai","ba","bốn","năm","sáu","bảy","tám","chín"))</f>
        <v>năm</v>
      </c>
      <c r="M42" s="108" t="str">
        <f>IF(M40=0,IF(AND(L42&lt;&gt;"",N40&lt;&gt;0),"lẻ",""),CHOOSE(M40,"mười","hai","ba","bốn","năm","sáu","bảy","tám","chín"))</f>
        <v/>
      </c>
      <c r="N42" s="108" t="str">
        <f>IF(N40=0,"",CHOOSE(N40,IF(M40&gt;1,"mốt","một"),"hai","ba","bốn",IF(M40=0,"năm","lăm"),"sáu","bảy","tám","chín"))</f>
        <v/>
      </c>
    </row>
    <row r="43" spans="1:14">
      <c r="A43" s="98"/>
      <c r="B43" s="99"/>
      <c r="C43" s="105" t="str">
        <f>IF(C40=0,"","trăm")</f>
        <v/>
      </c>
      <c r="D43" s="105" t="str">
        <f>IF(D40=0,"",IF(D40=1,"","mươi"))</f>
        <v>mươi</v>
      </c>
      <c r="E43" s="105" t="str">
        <f>IF(AND(E40=0,E41=0),"","tỷ")</f>
        <v>tỷ</v>
      </c>
      <c r="F43" s="106" t="str">
        <f>IF(F40=0,IF(F41=0,"",IF(SUM(G40:H40)=0,"","trăm")),"trăm")</f>
        <v>trăm</v>
      </c>
      <c r="G43" s="106" t="str">
        <f>IF(G40=0,"",IF(G40=1,"","mươi"))</f>
        <v/>
      </c>
      <c r="H43" s="106" t="str">
        <f>IF(AND(H40=0,H41=0),"","triệu")</f>
        <v>triệu</v>
      </c>
      <c r="I43" s="107" t="str">
        <f>IF(I40=0,IF(I41=0,"",IF(SUM(J40:K40)=0,"","trăm")),"trăm")</f>
        <v>trăm</v>
      </c>
      <c r="J43" s="107" t="str">
        <f>IF(J40=0,"",IF(J40=1,"","mươi"))</f>
        <v>mươi</v>
      </c>
      <c r="K43" s="107" t="str">
        <f>IF(AND(K40=0,K41=0),"","nghìn")</f>
        <v>nghìn</v>
      </c>
      <c r="L43" s="108" t="str">
        <f>IF(L40=0,IF(L41=0,"",IF(SUM(M40:N40)=0,"","trăm")),"trăm")</f>
        <v>trăm</v>
      </c>
      <c r="M43" s="108" t="str">
        <f>IF(M40=0,"",IF(M40=1,"","mươi"))</f>
        <v/>
      </c>
      <c r="N43" s="108"/>
    </row>
    <row r="44" spans="1:14">
      <c r="A44" s="98"/>
      <c r="B44" s="109" t="str">
        <f>UPPER(LEFT(TRIM(IF(A39=0,"không",C42&amp;" "&amp;C43&amp;" "&amp;D42&amp;" "&amp;D43&amp;" "&amp;E42&amp;" "&amp;E43&amp;" "&amp;F42&amp;" "&amp;F43&amp;" "&amp;G42&amp;" "&amp;G43&amp;" "&amp;H42&amp;" "&amp;H43&amp;" "&amp;I42&amp;" "&amp;I43&amp;" "&amp;J42&amp;" "&amp;J43&amp;" "&amp;K42&amp;" "&amp;K43&amp;" "&amp;L42&amp;" "&amp;L43&amp;" "&amp;M42&amp;" "&amp;M43&amp;" "&amp;N42&amp;" "&amp;N43)),1))&amp;RIGHT(TRIM(IF(A39=0,"không",C42&amp;" "&amp;C43&amp;" "&amp;D42&amp;" "&amp;D43&amp;" "&amp;E42&amp;" "&amp;E43&amp;" "&amp;F42&amp;" "&amp;F43&amp;" "&amp;G42&amp;" "&amp;G43&amp;" "&amp;H42&amp;" "&amp;H43&amp;" "&amp;I42&amp;" "&amp;I43&amp;" "&amp;J42&amp;" "&amp;J43&amp;" "&amp;K42&amp;" "&amp;K43&amp;" "&amp;L42&amp;" "&amp;L43&amp;" "&amp;M42&amp;" "&amp;M43&amp;" "&amp;N42&amp;" "&amp;N43)),LEN(TRIM(IF(A39=0,"không",C42&amp;" "&amp;C43&amp;" "&amp;D42&amp;" "&amp;D43&amp;" "&amp;E42&amp;" "&amp;E43&amp;" "&amp;F42&amp;" "&amp;F43&amp;" "&amp;G42&amp;" "&amp;G43&amp;" "&amp;H42&amp;" "&amp;H43&amp;" "&amp;I42&amp;" "&amp;I43&amp;" "&amp;J42&amp;" "&amp;J43&amp;" "&amp;K42&amp;" "&amp;K43&amp;" "&amp;L42&amp;" "&amp;L43&amp;" "&amp;M42&amp;" "&amp;M43&amp;" "&amp;N42&amp;" "&amp;N43)))-1)</f>
        <v>Tám mươi tám tỷ chín trăm lẻ hai triệu không trăm tám mươi bảy nghìn năm trăm</v>
      </c>
      <c r="C44" s="89"/>
      <c r="D44" s="89"/>
      <c r="E44" s="89"/>
      <c r="F44" s="89"/>
      <c r="G44" s="89"/>
      <c r="H44" s="89"/>
      <c r="I44" s="89"/>
      <c r="J44" s="89"/>
      <c r="K44" s="89"/>
      <c r="L44" s="89"/>
      <c r="M44" s="89"/>
      <c r="N44" s="8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3A195-B5E0-43F9-9980-3A3E00E01517}">
  <sheetPr>
    <pageSetUpPr fitToPage="1"/>
  </sheetPr>
  <dimension ref="A1:D56"/>
  <sheetViews>
    <sheetView tabSelected="1" topLeftCell="A39" zoomScaleNormal="100" workbookViewId="0">
      <selection activeCell="D17" sqref="D17"/>
    </sheetView>
  </sheetViews>
  <sheetFormatPr defaultColWidth="9.140625" defaultRowHeight="18.75"/>
  <cols>
    <col min="1" max="1" width="7.42578125" style="1" customWidth="1"/>
    <col min="2" max="2" width="54.28515625" style="1" customWidth="1"/>
    <col min="3" max="3" width="28.85546875" style="1" customWidth="1"/>
    <col min="4" max="4" width="26.28515625" style="1" customWidth="1"/>
    <col min="5" max="16384" width="9.140625" style="1"/>
  </cols>
  <sheetData>
    <row r="1" spans="1:4" ht="22.5" customHeight="1">
      <c r="A1" s="313" t="s">
        <v>278</v>
      </c>
      <c r="B1" s="313"/>
      <c r="C1" s="313"/>
      <c r="D1" s="313"/>
    </row>
    <row r="2" spans="1:4" ht="63.75" customHeight="1">
      <c r="A2" s="42" t="s">
        <v>126</v>
      </c>
      <c r="B2" s="49"/>
      <c r="C2" s="43"/>
      <c r="D2" s="43"/>
    </row>
    <row r="3" spans="1:4" ht="18" customHeight="1">
      <c r="A3" s="42"/>
      <c r="B3" s="310" t="s">
        <v>127</v>
      </c>
      <c r="C3" s="310"/>
      <c r="D3" s="310"/>
    </row>
    <row r="4" spans="1:4" ht="25.5" customHeight="1">
      <c r="A4" s="48" t="s">
        <v>128</v>
      </c>
      <c r="B4" s="48"/>
    </row>
    <row r="5" spans="1:4" ht="39" customHeight="1">
      <c r="A5" s="40" t="s">
        <v>129</v>
      </c>
      <c r="B5" s="40" t="s">
        <v>99</v>
      </c>
      <c r="C5" s="41" t="s">
        <v>100</v>
      </c>
      <c r="D5" s="40" t="s">
        <v>2</v>
      </c>
    </row>
    <row r="6" spans="1:4" ht="39" customHeight="1">
      <c r="A6" s="40" t="s">
        <v>130</v>
      </c>
      <c r="B6" s="65" t="s">
        <v>131</v>
      </c>
      <c r="C6" s="66">
        <f>SUM(C7+C10+C12)</f>
        <v>2767.8999999999996</v>
      </c>
      <c r="D6" s="40"/>
    </row>
    <row r="7" spans="1:4" ht="21.75" customHeight="1">
      <c r="A7" s="67">
        <v>1</v>
      </c>
      <c r="B7" s="68" t="s">
        <v>132</v>
      </c>
      <c r="C7" s="69">
        <f>SUM(C8:C9)</f>
        <v>864.1</v>
      </c>
      <c r="D7" s="38"/>
    </row>
    <row r="8" spans="1:4">
      <c r="A8" s="45">
        <v>1.1000000000000001</v>
      </c>
      <c r="B8" s="70" t="s">
        <v>279</v>
      </c>
      <c r="C8" s="78">
        <f>'PL 4.1'!H13/1000000</f>
        <v>436.1</v>
      </c>
      <c r="D8" s="252" t="s">
        <v>294</v>
      </c>
    </row>
    <row r="9" spans="1:4" ht="22.5" customHeight="1">
      <c r="A9" s="45" t="s">
        <v>133</v>
      </c>
      <c r="B9" s="70" t="s">
        <v>134</v>
      </c>
      <c r="C9" s="46">
        <f>'PL 4.2'!Q11/1000000</f>
        <v>428</v>
      </c>
      <c r="D9" s="252" t="s">
        <v>295</v>
      </c>
    </row>
    <row r="10" spans="1:4" ht="22.5" customHeight="1">
      <c r="A10" s="67">
        <v>2</v>
      </c>
      <c r="B10" s="71" t="s">
        <v>135</v>
      </c>
      <c r="C10" s="47">
        <f>C11</f>
        <v>960</v>
      </c>
      <c r="D10" s="252" t="s">
        <v>296</v>
      </c>
    </row>
    <row r="11" spans="1:4" ht="22.5" customHeight="1">
      <c r="A11" s="45" t="s">
        <v>136</v>
      </c>
      <c r="B11" s="70" t="s">
        <v>137</v>
      </c>
      <c r="C11" s="46">
        <f>'PL4.3'!Q7/1000000</f>
        <v>960</v>
      </c>
      <c r="D11" s="40"/>
    </row>
    <row r="12" spans="1:4" ht="25.5" customHeight="1">
      <c r="A12" s="67">
        <v>3</v>
      </c>
      <c r="B12" s="72" t="s">
        <v>138</v>
      </c>
      <c r="C12" s="83">
        <f>C13</f>
        <v>943.8</v>
      </c>
      <c r="D12" s="252" t="s">
        <v>297</v>
      </c>
    </row>
    <row r="13" spans="1:4" ht="22.5" customHeight="1">
      <c r="A13" s="45">
        <v>3.1</v>
      </c>
      <c r="B13" s="73" t="s">
        <v>139</v>
      </c>
      <c r="C13" s="78">
        <f>'PL 4.4'!Q11/1000000</f>
        <v>943.8</v>
      </c>
      <c r="D13" s="40"/>
    </row>
    <row r="14" spans="1:4" ht="27.75" customHeight="1">
      <c r="A14" s="40" t="s">
        <v>140</v>
      </c>
      <c r="B14" s="74" t="s">
        <v>141</v>
      </c>
      <c r="C14" s="66">
        <f>SUM(C15:C17)</f>
        <v>71120.9375</v>
      </c>
      <c r="D14" s="252" t="s">
        <v>298</v>
      </c>
    </row>
    <row r="15" spans="1:4" ht="23.25" customHeight="1">
      <c r="A15" s="45">
        <v>1</v>
      </c>
      <c r="B15" s="39" t="s">
        <v>96</v>
      </c>
      <c r="C15" s="46">
        <f>'PL 4.5'!C5</f>
        <v>55170.5</v>
      </c>
      <c r="D15" s="252" t="s">
        <v>299</v>
      </c>
    </row>
    <row r="16" spans="1:4" ht="27.75" customHeight="1">
      <c r="A16" s="45">
        <v>2</v>
      </c>
      <c r="B16" s="39" t="s">
        <v>95</v>
      </c>
      <c r="C16" s="46">
        <f>'PL 4.5'!C6</f>
        <v>8210.4375</v>
      </c>
      <c r="D16" s="252" t="s">
        <v>300</v>
      </c>
    </row>
    <row r="17" spans="1:4" ht="36.75" customHeight="1">
      <c r="A17" s="45">
        <v>3</v>
      </c>
      <c r="B17" s="39" t="s">
        <v>233</v>
      </c>
      <c r="C17" s="46">
        <f>'PL 4.6'!$F$12</f>
        <v>7740</v>
      </c>
      <c r="D17" s="282" t="s">
        <v>301</v>
      </c>
    </row>
    <row r="18" spans="1:4" ht="29.25" customHeight="1">
      <c r="A18" s="311" t="s">
        <v>144</v>
      </c>
      <c r="B18" s="312"/>
      <c r="C18" s="76">
        <f>SUM(C6+C14)</f>
        <v>73888.837499999994</v>
      </c>
      <c r="D18" s="39"/>
    </row>
    <row r="19" spans="1:4" ht="19.5">
      <c r="A19" s="57" t="s">
        <v>275</v>
      </c>
      <c r="B19" s="51"/>
      <c r="C19" s="51"/>
      <c r="D19" s="51"/>
    </row>
    <row r="20" spans="1:4" ht="25.5" customHeight="1">
      <c r="A20" s="48" t="s">
        <v>145</v>
      </c>
      <c r="B20" s="48"/>
    </row>
    <row r="21" spans="1:4" ht="39" customHeight="1">
      <c r="A21" s="40" t="s">
        <v>129</v>
      </c>
      <c r="B21" s="40" t="s">
        <v>99</v>
      </c>
      <c r="C21" s="41" t="s">
        <v>100</v>
      </c>
      <c r="D21" s="40" t="s">
        <v>2</v>
      </c>
    </row>
    <row r="22" spans="1:4" ht="39" customHeight="1">
      <c r="A22" s="40" t="s">
        <v>130</v>
      </c>
      <c r="B22" s="65" t="s">
        <v>131</v>
      </c>
      <c r="C22" s="66">
        <f>SUM(C23+C26+C29)</f>
        <v>3037.8999999999996</v>
      </c>
      <c r="D22" s="40"/>
    </row>
    <row r="23" spans="1:4" ht="27.75" customHeight="1">
      <c r="A23" s="67">
        <v>1</v>
      </c>
      <c r="B23" s="68" t="s">
        <v>132</v>
      </c>
      <c r="C23" s="69">
        <f>SUM(C24:C25)</f>
        <v>864.1</v>
      </c>
      <c r="D23" s="38"/>
    </row>
    <row r="24" spans="1:4">
      <c r="A24" s="45">
        <v>1.1000000000000001</v>
      </c>
      <c r="B24" s="70" t="s">
        <v>279</v>
      </c>
      <c r="C24" s="78">
        <f>'PL 4.1'!$H$13/1000000</f>
        <v>436.1</v>
      </c>
      <c r="D24" s="40"/>
    </row>
    <row r="25" spans="1:4" ht="22.5" customHeight="1">
      <c r="A25" s="45">
        <v>1.2</v>
      </c>
      <c r="B25" s="70" t="s">
        <v>134</v>
      </c>
      <c r="C25" s="78">
        <f>'PL 4.2'!$Q$11/1000000</f>
        <v>428</v>
      </c>
      <c r="D25" s="40"/>
    </row>
    <row r="26" spans="1:4" ht="22.5" customHeight="1">
      <c r="A26" s="40">
        <v>2</v>
      </c>
      <c r="B26" s="71" t="s">
        <v>135</v>
      </c>
      <c r="C26" s="79">
        <f>SUM(C27:C28)</f>
        <v>1230</v>
      </c>
      <c r="D26" s="40"/>
    </row>
    <row r="27" spans="1:4" ht="22.5" customHeight="1">
      <c r="A27" s="45">
        <v>2.1</v>
      </c>
      <c r="B27" s="70" t="s">
        <v>146</v>
      </c>
      <c r="C27" s="78">
        <f>'PL4.3'!$Q$11/1000000</f>
        <v>270</v>
      </c>
      <c r="D27" s="40"/>
    </row>
    <row r="28" spans="1:4" ht="22.5" customHeight="1">
      <c r="A28" s="45" t="s">
        <v>147</v>
      </c>
      <c r="B28" s="70" t="s">
        <v>137</v>
      </c>
      <c r="C28" s="46">
        <f>'PL4.3'!$Q$7/1000000</f>
        <v>960</v>
      </c>
      <c r="D28" s="40"/>
    </row>
    <row r="29" spans="1:4" ht="22.5" customHeight="1">
      <c r="A29" s="67">
        <v>3</v>
      </c>
      <c r="B29" s="72" t="s">
        <v>138</v>
      </c>
      <c r="C29" s="83">
        <f>C30</f>
        <v>943.8</v>
      </c>
      <c r="D29" s="40"/>
    </row>
    <row r="30" spans="1:4" ht="22.5" customHeight="1">
      <c r="A30" s="45">
        <v>3.1</v>
      </c>
      <c r="B30" s="73" t="s">
        <v>139</v>
      </c>
      <c r="C30" s="78">
        <f>'PL 4.4'!$Q$11/1000000</f>
        <v>943.8</v>
      </c>
      <c r="D30" s="40"/>
    </row>
    <row r="31" spans="1:4" ht="25.5" customHeight="1">
      <c r="A31" s="40" t="s">
        <v>140</v>
      </c>
      <c r="B31" s="38" t="s">
        <v>141</v>
      </c>
      <c r="C31" s="77">
        <f>SUM(C32:C34)</f>
        <v>73267.875</v>
      </c>
      <c r="D31" s="38"/>
    </row>
    <row r="32" spans="1:4" ht="28.5" customHeight="1">
      <c r="A32" s="45">
        <v>1</v>
      </c>
      <c r="B32" s="39" t="s">
        <v>96</v>
      </c>
      <c r="C32" s="46">
        <f>'PL 4.5'!$C$11</f>
        <v>55170.5</v>
      </c>
      <c r="D32" s="44"/>
    </row>
    <row r="33" spans="1:4" ht="24" customHeight="1">
      <c r="A33" s="45">
        <v>2</v>
      </c>
      <c r="B33" s="39" t="s">
        <v>95</v>
      </c>
      <c r="C33" s="46">
        <f>'PL 4.5'!$C$12</f>
        <v>10357.375</v>
      </c>
      <c r="D33" s="45"/>
    </row>
    <row r="34" spans="1:4" ht="24" customHeight="1">
      <c r="A34" s="45">
        <v>3</v>
      </c>
      <c r="B34" s="39" t="s">
        <v>142</v>
      </c>
      <c r="C34" s="46">
        <f>'PL 4.6'!$F$12</f>
        <v>7740</v>
      </c>
      <c r="D34" s="45" t="s">
        <v>143</v>
      </c>
    </row>
    <row r="35" spans="1:4" ht="29.25" customHeight="1">
      <c r="A35" s="45"/>
      <c r="B35" s="40" t="s">
        <v>148</v>
      </c>
      <c r="C35" s="76">
        <f>SUM(C22+C31)</f>
        <v>76305.774999999994</v>
      </c>
      <c r="D35" s="39"/>
    </row>
    <row r="36" spans="1:4" ht="19.5">
      <c r="A36" s="57" t="s">
        <v>276</v>
      </c>
      <c r="B36" s="51"/>
      <c r="C36" s="51"/>
      <c r="D36" s="51"/>
    </row>
    <row r="37" spans="1:4" ht="23.25" customHeight="1">
      <c r="A37" s="57"/>
      <c r="B37" s="51"/>
      <c r="C37" s="51"/>
      <c r="D37" s="51"/>
    </row>
    <row r="38" spans="1:4" ht="21.75" customHeight="1">
      <c r="A38" s="48" t="s">
        <v>149</v>
      </c>
      <c r="B38" s="48"/>
    </row>
    <row r="39" spans="1:4" ht="37.5">
      <c r="A39" s="40" t="s">
        <v>129</v>
      </c>
      <c r="B39" s="40" t="s">
        <v>99</v>
      </c>
      <c r="C39" s="41" t="s">
        <v>100</v>
      </c>
      <c r="D39" s="40" t="s">
        <v>2</v>
      </c>
    </row>
    <row r="40" spans="1:4" ht="37.5">
      <c r="A40" s="40" t="s">
        <v>130</v>
      </c>
      <c r="B40" s="65" t="s">
        <v>131</v>
      </c>
      <c r="C40" s="66">
        <f>SUM(C41+C44+C47)</f>
        <v>8701.4</v>
      </c>
      <c r="D40" s="40"/>
    </row>
    <row r="41" spans="1:4" ht="19.5" customHeight="1">
      <c r="A41" s="67">
        <v>1</v>
      </c>
      <c r="B41" s="68" t="s">
        <v>132</v>
      </c>
      <c r="C41" s="69">
        <f>SUM(C42:C43)</f>
        <v>864.1</v>
      </c>
      <c r="D41" s="38"/>
    </row>
    <row r="42" spans="1:4">
      <c r="A42" s="45">
        <v>1.1000000000000001</v>
      </c>
      <c r="B42" s="70" t="s">
        <v>279</v>
      </c>
      <c r="C42" s="78">
        <f>'PL 4.1'!$H$13/1000000</f>
        <v>436.1</v>
      </c>
      <c r="D42" s="40"/>
    </row>
    <row r="43" spans="1:4" ht="22.5" customHeight="1">
      <c r="A43" s="45">
        <v>1.2</v>
      </c>
      <c r="B43" s="70" t="s">
        <v>134</v>
      </c>
      <c r="C43" s="78">
        <f>'PL 4.2'!$Q$11/1000000</f>
        <v>428</v>
      </c>
      <c r="D43" s="40"/>
    </row>
    <row r="44" spans="1:4" ht="25.5" customHeight="1">
      <c r="A44" s="40">
        <v>2</v>
      </c>
      <c r="B44" s="71" t="s">
        <v>135</v>
      </c>
      <c r="C44" s="79">
        <f>SUM(C45:C46)</f>
        <v>1040</v>
      </c>
      <c r="D44" s="40"/>
    </row>
    <row r="45" spans="1:4" ht="37.5">
      <c r="A45" s="45">
        <v>2.1</v>
      </c>
      <c r="B45" s="70" t="s">
        <v>150</v>
      </c>
      <c r="C45" s="78">
        <f>'PL4.3'!$Q$14/1000000</f>
        <v>80</v>
      </c>
      <c r="D45" s="40"/>
    </row>
    <row r="46" spans="1:4" ht="25.5" customHeight="1">
      <c r="A46" s="45" t="s">
        <v>147</v>
      </c>
      <c r="B46" s="70" t="s">
        <v>137</v>
      </c>
      <c r="C46" s="78">
        <f>'PL4.3'!$Q$7/1000000</f>
        <v>960</v>
      </c>
      <c r="D46" s="40"/>
    </row>
    <row r="47" spans="1:4" ht="21" customHeight="1">
      <c r="A47" s="67">
        <v>3</v>
      </c>
      <c r="B47" s="72" t="s">
        <v>138</v>
      </c>
      <c r="C47" s="80">
        <f>SUM(C48:C49)</f>
        <v>6797.3</v>
      </c>
      <c r="D47" s="40"/>
    </row>
    <row r="48" spans="1:4" ht="24" customHeight="1">
      <c r="A48" s="45">
        <v>3.1</v>
      </c>
      <c r="B48" s="73" t="s">
        <v>139</v>
      </c>
      <c r="C48" s="81">
        <f>'PL 4.4'!$Q$11/1000000</f>
        <v>943.8</v>
      </c>
      <c r="D48" s="40"/>
    </row>
    <row r="49" spans="1:4" ht="26.25" customHeight="1">
      <c r="A49" s="45">
        <v>3.2</v>
      </c>
      <c r="B49" s="70" t="s">
        <v>151</v>
      </c>
      <c r="C49" s="81">
        <f>'PL 4.4'!$Q$8/1000000</f>
        <v>5853.5</v>
      </c>
      <c r="D49" s="40"/>
    </row>
    <row r="50" spans="1:4" ht="24.75" customHeight="1">
      <c r="A50" s="40" t="s">
        <v>140</v>
      </c>
      <c r="B50" s="82" t="s">
        <v>141</v>
      </c>
      <c r="C50" s="77">
        <f>SUM(C51:C53)</f>
        <v>80200.6875</v>
      </c>
      <c r="D50" s="82"/>
    </row>
    <row r="51" spans="1:4" ht="25.5" customHeight="1">
      <c r="A51" s="45">
        <v>1</v>
      </c>
      <c r="B51" s="39" t="s">
        <v>96</v>
      </c>
      <c r="C51" s="46">
        <f>'PL 4.5'!$C$17</f>
        <v>61887.75</v>
      </c>
      <c r="D51" s="44"/>
    </row>
    <row r="52" spans="1:4" ht="29.25" customHeight="1">
      <c r="A52" s="45">
        <v>2</v>
      </c>
      <c r="B52" s="39" t="s">
        <v>95</v>
      </c>
      <c r="C52" s="46">
        <f>'PL 4.5'!$C$18</f>
        <v>10572.9375</v>
      </c>
      <c r="D52" s="45"/>
    </row>
    <row r="53" spans="1:4" ht="29.25" customHeight="1">
      <c r="A53" s="45">
        <v>3</v>
      </c>
      <c r="B53" s="39" t="s">
        <v>142</v>
      </c>
      <c r="C53" s="46">
        <f>'PL 4.6'!$F$12</f>
        <v>7740</v>
      </c>
      <c r="D53" s="75" t="s">
        <v>143</v>
      </c>
    </row>
    <row r="54" spans="1:4" ht="29.25" customHeight="1">
      <c r="A54" s="311" t="s">
        <v>148</v>
      </c>
      <c r="B54" s="312"/>
      <c r="C54" s="76">
        <f>SUM(C40+C50)</f>
        <v>88902.087499999994</v>
      </c>
      <c r="D54" s="39"/>
    </row>
    <row r="55" spans="1:4" ht="26.25" customHeight="1">
      <c r="A55" s="309" t="s">
        <v>277</v>
      </c>
      <c r="B55" s="51"/>
      <c r="C55" s="51"/>
      <c r="D55" s="51"/>
    </row>
    <row r="56" spans="1:4" ht="24" customHeight="1"/>
  </sheetData>
  <mergeCells count="4">
    <mergeCell ref="B3:D3"/>
    <mergeCell ref="A18:B18"/>
    <mergeCell ref="A54:B54"/>
    <mergeCell ref="A1:D1"/>
  </mergeCells>
  <pageMargins left="0.7" right="0.7" top="0.75" bottom="0.75" header="0.3" footer="0.3"/>
  <pageSetup paperSize="9" scale="74"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7B6E3-9658-444C-8797-CF961F9906F8}">
  <dimension ref="A1:J17"/>
  <sheetViews>
    <sheetView zoomScaleNormal="100" workbookViewId="0">
      <selection sqref="A1:I1"/>
    </sheetView>
  </sheetViews>
  <sheetFormatPr defaultColWidth="9.28515625" defaultRowHeight="21.75" customHeight="1"/>
  <cols>
    <col min="1" max="1" width="4.7109375" style="112" customWidth="1"/>
    <col min="2" max="2" width="28.42578125" style="110" customWidth="1"/>
    <col min="3" max="3" width="5.7109375" style="113" customWidth="1"/>
    <col min="4" max="4" width="15.85546875" style="113" customWidth="1"/>
    <col min="5" max="5" width="9.5703125" style="110" customWidth="1"/>
    <col min="6" max="6" width="12.85546875" style="110" customWidth="1"/>
    <col min="7" max="7" width="20.140625" style="110" customWidth="1"/>
    <col min="8" max="8" width="16.85546875" style="110" customWidth="1"/>
    <col min="9" max="9" width="16.5703125" style="110" customWidth="1"/>
    <col min="10" max="10" width="14.28515625" style="110" customWidth="1"/>
    <col min="11" max="256" width="9.28515625" style="110"/>
    <col min="257" max="257" width="4.7109375" style="110" customWidth="1"/>
    <col min="258" max="258" width="28.42578125" style="110" customWidth="1"/>
    <col min="259" max="259" width="5.7109375" style="110" customWidth="1"/>
    <col min="260" max="260" width="15.85546875" style="110" customWidth="1"/>
    <col min="261" max="261" width="9.5703125" style="110" customWidth="1"/>
    <col min="262" max="262" width="12.85546875" style="110" customWidth="1"/>
    <col min="263" max="263" width="20.140625" style="110" customWidth="1"/>
    <col min="264" max="264" width="16.85546875" style="110" customWidth="1"/>
    <col min="265" max="265" width="16.5703125" style="110" customWidth="1"/>
    <col min="266" max="266" width="14.28515625" style="110" customWidth="1"/>
    <col min="267" max="512" width="9.28515625" style="110"/>
    <col min="513" max="513" width="4.7109375" style="110" customWidth="1"/>
    <col min="514" max="514" width="28.42578125" style="110" customWidth="1"/>
    <col min="515" max="515" width="5.7109375" style="110" customWidth="1"/>
    <col min="516" max="516" width="15.85546875" style="110" customWidth="1"/>
    <col min="517" max="517" width="9.5703125" style="110" customWidth="1"/>
    <col min="518" max="518" width="12.85546875" style="110" customWidth="1"/>
    <col min="519" max="519" width="20.140625" style="110" customWidth="1"/>
    <col min="520" max="520" width="16.85546875" style="110" customWidth="1"/>
    <col min="521" max="521" width="16.5703125" style="110" customWidth="1"/>
    <col min="522" max="522" width="14.28515625" style="110" customWidth="1"/>
    <col min="523" max="768" width="9.28515625" style="110"/>
    <col min="769" max="769" width="4.7109375" style="110" customWidth="1"/>
    <col min="770" max="770" width="28.42578125" style="110" customWidth="1"/>
    <col min="771" max="771" width="5.7109375" style="110" customWidth="1"/>
    <col min="772" max="772" width="15.85546875" style="110" customWidth="1"/>
    <col min="773" max="773" width="9.5703125" style="110" customWidth="1"/>
    <col min="774" max="774" width="12.85546875" style="110" customWidth="1"/>
    <col min="775" max="775" width="20.140625" style="110" customWidth="1"/>
    <col min="776" max="776" width="16.85546875" style="110" customWidth="1"/>
    <col min="777" max="777" width="16.5703125" style="110" customWidth="1"/>
    <col min="778" max="778" width="14.28515625" style="110" customWidth="1"/>
    <col min="779" max="1024" width="9.28515625" style="110"/>
    <col min="1025" max="1025" width="4.7109375" style="110" customWidth="1"/>
    <col min="1026" max="1026" width="28.42578125" style="110" customWidth="1"/>
    <col min="1027" max="1027" width="5.7109375" style="110" customWidth="1"/>
    <col min="1028" max="1028" width="15.85546875" style="110" customWidth="1"/>
    <col min="1029" max="1029" width="9.5703125" style="110" customWidth="1"/>
    <col min="1030" max="1030" width="12.85546875" style="110" customWidth="1"/>
    <col min="1031" max="1031" width="20.140625" style="110" customWidth="1"/>
    <col min="1032" max="1032" width="16.85546875" style="110" customWidth="1"/>
    <col min="1033" max="1033" width="16.5703125" style="110" customWidth="1"/>
    <col min="1034" max="1034" width="14.28515625" style="110" customWidth="1"/>
    <col min="1035" max="1280" width="9.28515625" style="110"/>
    <col min="1281" max="1281" width="4.7109375" style="110" customWidth="1"/>
    <col min="1282" max="1282" width="28.42578125" style="110" customWidth="1"/>
    <col min="1283" max="1283" width="5.7109375" style="110" customWidth="1"/>
    <col min="1284" max="1284" width="15.85546875" style="110" customWidth="1"/>
    <col min="1285" max="1285" width="9.5703125" style="110" customWidth="1"/>
    <col min="1286" max="1286" width="12.85546875" style="110" customWidth="1"/>
    <col min="1287" max="1287" width="20.140625" style="110" customWidth="1"/>
    <col min="1288" max="1288" width="16.85546875" style="110" customWidth="1"/>
    <col min="1289" max="1289" width="16.5703125" style="110" customWidth="1"/>
    <col min="1290" max="1290" width="14.28515625" style="110" customWidth="1"/>
    <col min="1291" max="1536" width="9.28515625" style="110"/>
    <col min="1537" max="1537" width="4.7109375" style="110" customWidth="1"/>
    <col min="1538" max="1538" width="28.42578125" style="110" customWidth="1"/>
    <col min="1539" max="1539" width="5.7109375" style="110" customWidth="1"/>
    <col min="1540" max="1540" width="15.85546875" style="110" customWidth="1"/>
    <col min="1541" max="1541" width="9.5703125" style="110" customWidth="1"/>
    <col min="1542" max="1542" width="12.85546875" style="110" customWidth="1"/>
    <col min="1543" max="1543" width="20.140625" style="110" customWidth="1"/>
    <col min="1544" max="1544" width="16.85546875" style="110" customWidth="1"/>
    <col min="1545" max="1545" width="16.5703125" style="110" customWidth="1"/>
    <col min="1546" max="1546" width="14.28515625" style="110" customWidth="1"/>
    <col min="1547" max="1792" width="9.28515625" style="110"/>
    <col min="1793" max="1793" width="4.7109375" style="110" customWidth="1"/>
    <col min="1794" max="1794" width="28.42578125" style="110" customWidth="1"/>
    <col min="1795" max="1795" width="5.7109375" style="110" customWidth="1"/>
    <col min="1796" max="1796" width="15.85546875" style="110" customWidth="1"/>
    <col min="1797" max="1797" width="9.5703125" style="110" customWidth="1"/>
    <col min="1798" max="1798" width="12.85546875" style="110" customWidth="1"/>
    <col min="1799" max="1799" width="20.140625" style="110" customWidth="1"/>
    <col min="1800" max="1800" width="16.85546875" style="110" customWidth="1"/>
    <col min="1801" max="1801" width="16.5703125" style="110" customWidth="1"/>
    <col min="1802" max="1802" width="14.28515625" style="110" customWidth="1"/>
    <col min="1803" max="2048" width="9.28515625" style="110"/>
    <col min="2049" max="2049" width="4.7109375" style="110" customWidth="1"/>
    <col min="2050" max="2050" width="28.42578125" style="110" customWidth="1"/>
    <col min="2051" max="2051" width="5.7109375" style="110" customWidth="1"/>
    <col min="2052" max="2052" width="15.85546875" style="110" customWidth="1"/>
    <col min="2053" max="2053" width="9.5703125" style="110" customWidth="1"/>
    <col min="2054" max="2054" width="12.85546875" style="110" customWidth="1"/>
    <col min="2055" max="2055" width="20.140625" style="110" customWidth="1"/>
    <col min="2056" max="2056" width="16.85546875" style="110" customWidth="1"/>
    <col min="2057" max="2057" width="16.5703125" style="110" customWidth="1"/>
    <col min="2058" max="2058" width="14.28515625" style="110" customWidth="1"/>
    <col min="2059" max="2304" width="9.28515625" style="110"/>
    <col min="2305" max="2305" width="4.7109375" style="110" customWidth="1"/>
    <col min="2306" max="2306" width="28.42578125" style="110" customWidth="1"/>
    <col min="2307" max="2307" width="5.7109375" style="110" customWidth="1"/>
    <col min="2308" max="2308" width="15.85546875" style="110" customWidth="1"/>
    <col min="2309" max="2309" width="9.5703125" style="110" customWidth="1"/>
    <col min="2310" max="2310" width="12.85546875" style="110" customWidth="1"/>
    <col min="2311" max="2311" width="20.140625" style="110" customWidth="1"/>
    <col min="2312" max="2312" width="16.85546875" style="110" customWidth="1"/>
    <col min="2313" max="2313" width="16.5703125" style="110" customWidth="1"/>
    <col min="2314" max="2314" width="14.28515625" style="110" customWidth="1"/>
    <col min="2315" max="2560" width="9.28515625" style="110"/>
    <col min="2561" max="2561" width="4.7109375" style="110" customWidth="1"/>
    <col min="2562" max="2562" width="28.42578125" style="110" customWidth="1"/>
    <col min="2563" max="2563" width="5.7109375" style="110" customWidth="1"/>
    <col min="2564" max="2564" width="15.85546875" style="110" customWidth="1"/>
    <col min="2565" max="2565" width="9.5703125" style="110" customWidth="1"/>
    <col min="2566" max="2566" width="12.85546875" style="110" customWidth="1"/>
    <col min="2567" max="2567" width="20.140625" style="110" customWidth="1"/>
    <col min="2568" max="2568" width="16.85546875" style="110" customWidth="1"/>
    <col min="2569" max="2569" width="16.5703125" style="110" customWidth="1"/>
    <col min="2570" max="2570" width="14.28515625" style="110" customWidth="1"/>
    <col min="2571" max="2816" width="9.28515625" style="110"/>
    <col min="2817" max="2817" width="4.7109375" style="110" customWidth="1"/>
    <col min="2818" max="2818" width="28.42578125" style="110" customWidth="1"/>
    <col min="2819" max="2819" width="5.7109375" style="110" customWidth="1"/>
    <col min="2820" max="2820" width="15.85546875" style="110" customWidth="1"/>
    <col min="2821" max="2821" width="9.5703125" style="110" customWidth="1"/>
    <col min="2822" max="2822" width="12.85546875" style="110" customWidth="1"/>
    <col min="2823" max="2823" width="20.140625" style="110" customWidth="1"/>
    <col min="2824" max="2824" width="16.85546875" style="110" customWidth="1"/>
    <col min="2825" max="2825" width="16.5703125" style="110" customWidth="1"/>
    <col min="2826" max="2826" width="14.28515625" style="110" customWidth="1"/>
    <col min="2827" max="3072" width="9.28515625" style="110"/>
    <col min="3073" max="3073" width="4.7109375" style="110" customWidth="1"/>
    <col min="3074" max="3074" width="28.42578125" style="110" customWidth="1"/>
    <col min="3075" max="3075" width="5.7109375" style="110" customWidth="1"/>
    <col min="3076" max="3076" width="15.85546875" style="110" customWidth="1"/>
    <col min="3077" max="3077" width="9.5703125" style="110" customWidth="1"/>
    <col min="3078" max="3078" width="12.85546875" style="110" customWidth="1"/>
    <col min="3079" max="3079" width="20.140625" style="110" customWidth="1"/>
    <col min="3080" max="3080" width="16.85546875" style="110" customWidth="1"/>
    <col min="3081" max="3081" width="16.5703125" style="110" customWidth="1"/>
    <col min="3082" max="3082" width="14.28515625" style="110" customWidth="1"/>
    <col min="3083" max="3328" width="9.28515625" style="110"/>
    <col min="3329" max="3329" width="4.7109375" style="110" customWidth="1"/>
    <col min="3330" max="3330" width="28.42578125" style="110" customWidth="1"/>
    <col min="3331" max="3331" width="5.7109375" style="110" customWidth="1"/>
    <col min="3332" max="3332" width="15.85546875" style="110" customWidth="1"/>
    <col min="3333" max="3333" width="9.5703125" style="110" customWidth="1"/>
    <col min="3334" max="3334" width="12.85546875" style="110" customWidth="1"/>
    <col min="3335" max="3335" width="20.140625" style="110" customWidth="1"/>
    <col min="3336" max="3336" width="16.85546875" style="110" customWidth="1"/>
    <col min="3337" max="3337" width="16.5703125" style="110" customWidth="1"/>
    <col min="3338" max="3338" width="14.28515625" style="110" customWidth="1"/>
    <col min="3339" max="3584" width="9.28515625" style="110"/>
    <col min="3585" max="3585" width="4.7109375" style="110" customWidth="1"/>
    <col min="3586" max="3586" width="28.42578125" style="110" customWidth="1"/>
    <col min="3587" max="3587" width="5.7109375" style="110" customWidth="1"/>
    <col min="3588" max="3588" width="15.85546875" style="110" customWidth="1"/>
    <col min="3589" max="3589" width="9.5703125" style="110" customWidth="1"/>
    <col min="3590" max="3590" width="12.85546875" style="110" customWidth="1"/>
    <col min="3591" max="3591" width="20.140625" style="110" customWidth="1"/>
    <col min="3592" max="3592" width="16.85546875" style="110" customWidth="1"/>
    <col min="3593" max="3593" width="16.5703125" style="110" customWidth="1"/>
    <col min="3594" max="3594" width="14.28515625" style="110" customWidth="1"/>
    <col min="3595" max="3840" width="9.28515625" style="110"/>
    <col min="3841" max="3841" width="4.7109375" style="110" customWidth="1"/>
    <col min="3842" max="3842" width="28.42578125" style="110" customWidth="1"/>
    <col min="3843" max="3843" width="5.7109375" style="110" customWidth="1"/>
    <col min="3844" max="3844" width="15.85546875" style="110" customWidth="1"/>
    <col min="3845" max="3845" width="9.5703125" style="110" customWidth="1"/>
    <col min="3846" max="3846" width="12.85546875" style="110" customWidth="1"/>
    <col min="3847" max="3847" width="20.140625" style="110" customWidth="1"/>
    <col min="3848" max="3848" width="16.85546875" style="110" customWidth="1"/>
    <col min="3849" max="3849" width="16.5703125" style="110" customWidth="1"/>
    <col min="3850" max="3850" width="14.28515625" style="110" customWidth="1"/>
    <col min="3851" max="4096" width="9.28515625" style="110"/>
    <col min="4097" max="4097" width="4.7109375" style="110" customWidth="1"/>
    <col min="4098" max="4098" width="28.42578125" style="110" customWidth="1"/>
    <col min="4099" max="4099" width="5.7109375" style="110" customWidth="1"/>
    <col min="4100" max="4100" width="15.85546875" style="110" customWidth="1"/>
    <col min="4101" max="4101" width="9.5703125" style="110" customWidth="1"/>
    <col min="4102" max="4102" width="12.85546875" style="110" customWidth="1"/>
    <col min="4103" max="4103" width="20.140625" style="110" customWidth="1"/>
    <col min="4104" max="4104" width="16.85546875" style="110" customWidth="1"/>
    <col min="4105" max="4105" width="16.5703125" style="110" customWidth="1"/>
    <col min="4106" max="4106" width="14.28515625" style="110" customWidth="1"/>
    <col min="4107" max="4352" width="9.28515625" style="110"/>
    <col min="4353" max="4353" width="4.7109375" style="110" customWidth="1"/>
    <col min="4354" max="4354" width="28.42578125" style="110" customWidth="1"/>
    <col min="4355" max="4355" width="5.7109375" style="110" customWidth="1"/>
    <col min="4356" max="4356" width="15.85546875" style="110" customWidth="1"/>
    <col min="4357" max="4357" width="9.5703125" style="110" customWidth="1"/>
    <col min="4358" max="4358" width="12.85546875" style="110" customWidth="1"/>
    <col min="4359" max="4359" width="20.140625" style="110" customWidth="1"/>
    <col min="4360" max="4360" width="16.85546875" style="110" customWidth="1"/>
    <col min="4361" max="4361" width="16.5703125" style="110" customWidth="1"/>
    <col min="4362" max="4362" width="14.28515625" style="110" customWidth="1"/>
    <col min="4363" max="4608" width="9.28515625" style="110"/>
    <col min="4609" max="4609" width="4.7109375" style="110" customWidth="1"/>
    <col min="4610" max="4610" width="28.42578125" style="110" customWidth="1"/>
    <col min="4611" max="4611" width="5.7109375" style="110" customWidth="1"/>
    <col min="4612" max="4612" width="15.85546875" style="110" customWidth="1"/>
    <col min="4613" max="4613" width="9.5703125" style="110" customWidth="1"/>
    <col min="4614" max="4614" width="12.85546875" style="110" customWidth="1"/>
    <col min="4615" max="4615" width="20.140625" style="110" customWidth="1"/>
    <col min="4616" max="4616" width="16.85546875" style="110" customWidth="1"/>
    <col min="4617" max="4617" width="16.5703125" style="110" customWidth="1"/>
    <col min="4618" max="4618" width="14.28515625" style="110" customWidth="1"/>
    <col min="4619" max="4864" width="9.28515625" style="110"/>
    <col min="4865" max="4865" width="4.7109375" style="110" customWidth="1"/>
    <col min="4866" max="4866" width="28.42578125" style="110" customWidth="1"/>
    <col min="4867" max="4867" width="5.7109375" style="110" customWidth="1"/>
    <col min="4868" max="4868" width="15.85546875" style="110" customWidth="1"/>
    <col min="4869" max="4869" width="9.5703125" style="110" customWidth="1"/>
    <col min="4870" max="4870" width="12.85546875" style="110" customWidth="1"/>
    <col min="4871" max="4871" width="20.140625" style="110" customWidth="1"/>
    <col min="4872" max="4872" width="16.85546875" style="110" customWidth="1"/>
    <col min="4873" max="4873" width="16.5703125" style="110" customWidth="1"/>
    <col min="4874" max="4874" width="14.28515625" style="110" customWidth="1"/>
    <col min="4875" max="5120" width="9.28515625" style="110"/>
    <col min="5121" max="5121" width="4.7109375" style="110" customWidth="1"/>
    <col min="5122" max="5122" width="28.42578125" style="110" customWidth="1"/>
    <col min="5123" max="5123" width="5.7109375" style="110" customWidth="1"/>
    <col min="5124" max="5124" width="15.85546875" style="110" customWidth="1"/>
    <col min="5125" max="5125" width="9.5703125" style="110" customWidth="1"/>
    <col min="5126" max="5126" width="12.85546875" style="110" customWidth="1"/>
    <col min="5127" max="5127" width="20.140625" style="110" customWidth="1"/>
    <col min="5128" max="5128" width="16.85546875" style="110" customWidth="1"/>
    <col min="5129" max="5129" width="16.5703125" style="110" customWidth="1"/>
    <col min="5130" max="5130" width="14.28515625" style="110" customWidth="1"/>
    <col min="5131" max="5376" width="9.28515625" style="110"/>
    <col min="5377" max="5377" width="4.7109375" style="110" customWidth="1"/>
    <col min="5378" max="5378" width="28.42578125" style="110" customWidth="1"/>
    <col min="5379" max="5379" width="5.7109375" style="110" customWidth="1"/>
    <col min="5380" max="5380" width="15.85546875" style="110" customWidth="1"/>
    <col min="5381" max="5381" width="9.5703125" style="110" customWidth="1"/>
    <col min="5382" max="5382" width="12.85546875" style="110" customWidth="1"/>
    <col min="5383" max="5383" width="20.140625" style="110" customWidth="1"/>
    <col min="5384" max="5384" width="16.85546875" style="110" customWidth="1"/>
    <col min="5385" max="5385" width="16.5703125" style="110" customWidth="1"/>
    <col min="5386" max="5386" width="14.28515625" style="110" customWidth="1"/>
    <col min="5387" max="5632" width="9.28515625" style="110"/>
    <col min="5633" max="5633" width="4.7109375" style="110" customWidth="1"/>
    <col min="5634" max="5634" width="28.42578125" style="110" customWidth="1"/>
    <col min="5635" max="5635" width="5.7109375" style="110" customWidth="1"/>
    <col min="5636" max="5636" width="15.85546875" style="110" customWidth="1"/>
    <col min="5637" max="5637" width="9.5703125" style="110" customWidth="1"/>
    <col min="5638" max="5638" width="12.85546875" style="110" customWidth="1"/>
    <col min="5639" max="5639" width="20.140625" style="110" customWidth="1"/>
    <col min="5640" max="5640" width="16.85546875" style="110" customWidth="1"/>
    <col min="5641" max="5641" width="16.5703125" style="110" customWidth="1"/>
    <col min="5642" max="5642" width="14.28515625" style="110" customWidth="1"/>
    <col min="5643" max="5888" width="9.28515625" style="110"/>
    <col min="5889" max="5889" width="4.7109375" style="110" customWidth="1"/>
    <col min="5890" max="5890" width="28.42578125" style="110" customWidth="1"/>
    <col min="5891" max="5891" width="5.7109375" style="110" customWidth="1"/>
    <col min="5892" max="5892" width="15.85546875" style="110" customWidth="1"/>
    <col min="5893" max="5893" width="9.5703125" style="110" customWidth="1"/>
    <col min="5894" max="5894" width="12.85546875" style="110" customWidth="1"/>
    <col min="5895" max="5895" width="20.140625" style="110" customWidth="1"/>
    <col min="5896" max="5896" width="16.85546875" style="110" customWidth="1"/>
    <col min="5897" max="5897" width="16.5703125" style="110" customWidth="1"/>
    <col min="5898" max="5898" width="14.28515625" style="110" customWidth="1"/>
    <col min="5899" max="6144" width="9.28515625" style="110"/>
    <col min="6145" max="6145" width="4.7109375" style="110" customWidth="1"/>
    <col min="6146" max="6146" width="28.42578125" style="110" customWidth="1"/>
    <col min="6147" max="6147" width="5.7109375" style="110" customWidth="1"/>
    <col min="6148" max="6148" width="15.85546875" style="110" customWidth="1"/>
    <col min="6149" max="6149" width="9.5703125" style="110" customWidth="1"/>
    <col min="6150" max="6150" width="12.85546875" style="110" customWidth="1"/>
    <col min="6151" max="6151" width="20.140625" style="110" customWidth="1"/>
    <col min="6152" max="6152" width="16.85546875" style="110" customWidth="1"/>
    <col min="6153" max="6153" width="16.5703125" style="110" customWidth="1"/>
    <col min="6154" max="6154" width="14.28515625" style="110" customWidth="1"/>
    <col min="6155" max="6400" width="9.28515625" style="110"/>
    <col min="6401" max="6401" width="4.7109375" style="110" customWidth="1"/>
    <col min="6402" max="6402" width="28.42578125" style="110" customWidth="1"/>
    <col min="6403" max="6403" width="5.7109375" style="110" customWidth="1"/>
    <col min="6404" max="6404" width="15.85546875" style="110" customWidth="1"/>
    <col min="6405" max="6405" width="9.5703125" style="110" customWidth="1"/>
    <col min="6406" max="6406" width="12.85546875" style="110" customWidth="1"/>
    <col min="6407" max="6407" width="20.140625" style="110" customWidth="1"/>
    <col min="6408" max="6408" width="16.85546875" style="110" customWidth="1"/>
    <col min="6409" max="6409" width="16.5703125" style="110" customWidth="1"/>
    <col min="6410" max="6410" width="14.28515625" style="110" customWidth="1"/>
    <col min="6411" max="6656" width="9.28515625" style="110"/>
    <col min="6657" max="6657" width="4.7109375" style="110" customWidth="1"/>
    <col min="6658" max="6658" width="28.42578125" style="110" customWidth="1"/>
    <col min="6659" max="6659" width="5.7109375" style="110" customWidth="1"/>
    <col min="6660" max="6660" width="15.85546875" style="110" customWidth="1"/>
    <col min="6661" max="6661" width="9.5703125" style="110" customWidth="1"/>
    <col min="6662" max="6662" width="12.85546875" style="110" customWidth="1"/>
    <col min="6663" max="6663" width="20.140625" style="110" customWidth="1"/>
    <col min="6664" max="6664" width="16.85546875" style="110" customWidth="1"/>
    <col min="6665" max="6665" width="16.5703125" style="110" customWidth="1"/>
    <col min="6666" max="6666" width="14.28515625" style="110" customWidth="1"/>
    <col min="6667" max="6912" width="9.28515625" style="110"/>
    <col min="6913" max="6913" width="4.7109375" style="110" customWidth="1"/>
    <col min="6914" max="6914" width="28.42578125" style="110" customWidth="1"/>
    <col min="6915" max="6915" width="5.7109375" style="110" customWidth="1"/>
    <col min="6916" max="6916" width="15.85546875" style="110" customWidth="1"/>
    <col min="6917" max="6917" width="9.5703125" style="110" customWidth="1"/>
    <col min="6918" max="6918" width="12.85546875" style="110" customWidth="1"/>
    <col min="6919" max="6919" width="20.140625" style="110" customWidth="1"/>
    <col min="6920" max="6920" width="16.85546875" style="110" customWidth="1"/>
    <col min="6921" max="6921" width="16.5703125" style="110" customWidth="1"/>
    <col min="6922" max="6922" width="14.28515625" style="110" customWidth="1"/>
    <col min="6923" max="7168" width="9.28515625" style="110"/>
    <col min="7169" max="7169" width="4.7109375" style="110" customWidth="1"/>
    <col min="7170" max="7170" width="28.42578125" style="110" customWidth="1"/>
    <col min="7171" max="7171" width="5.7109375" style="110" customWidth="1"/>
    <col min="7172" max="7172" width="15.85546875" style="110" customWidth="1"/>
    <col min="7173" max="7173" width="9.5703125" style="110" customWidth="1"/>
    <col min="7174" max="7174" width="12.85546875" style="110" customWidth="1"/>
    <col min="7175" max="7175" width="20.140625" style="110" customWidth="1"/>
    <col min="7176" max="7176" width="16.85546875" style="110" customWidth="1"/>
    <col min="7177" max="7177" width="16.5703125" style="110" customWidth="1"/>
    <col min="7178" max="7178" width="14.28515625" style="110" customWidth="1"/>
    <col min="7179" max="7424" width="9.28515625" style="110"/>
    <col min="7425" max="7425" width="4.7109375" style="110" customWidth="1"/>
    <col min="7426" max="7426" width="28.42578125" style="110" customWidth="1"/>
    <col min="7427" max="7427" width="5.7109375" style="110" customWidth="1"/>
    <col min="7428" max="7428" width="15.85546875" style="110" customWidth="1"/>
    <col min="7429" max="7429" width="9.5703125" style="110" customWidth="1"/>
    <col min="7430" max="7430" width="12.85546875" style="110" customWidth="1"/>
    <col min="7431" max="7431" width="20.140625" style="110" customWidth="1"/>
    <col min="7432" max="7432" width="16.85546875" style="110" customWidth="1"/>
    <col min="7433" max="7433" width="16.5703125" style="110" customWidth="1"/>
    <col min="7434" max="7434" width="14.28515625" style="110" customWidth="1"/>
    <col min="7435" max="7680" width="9.28515625" style="110"/>
    <col min="7681" max="7681" width="4.7109375" style="110" customWidth="1"/>
    <col min="7682" max="7682" width="28.42578125" style="110" customWidth="1"/>
    <col min="7683" max="7683" width="5.7109375" style="110" customWidth="1"/>
    <col min="7684" max="7684" width="15.85546875" style="110" customWidth="1"/>
    <col min="7685" max="7685" width="9.5703125" style="110" customWidth="1"/>
    <col min="7686" max="7686" width="12.85546875" style="110" customWidth="1"/>
    <col min="7687" max="7687" width="20.140625" style="110" customWidth="1"/>
    <col min="7688" max="7688" width="16.85546875" style="110" customWidth="1"/>
    <col min="7689" max="7689" width="16.5703125" style="110" customWidth="1"/>
    <col min="7690" max="7690" width="14.28515625" style="110" customWidth="1"/>
    <col min="7691" max="7936" width="9.28515625" style="110"/>
    <col min="7937" max="7937" width="4.7109375" style="110" customWidth="1"/>
    <col min="7938" max="7938" width="28.42578125" style="110" customWidth="1"/>
    <col min="7939" max="7939" width="5.7109375" style="110" customWidth="1"/>
    <col min="7940" max="7940" width="15.85546875" style="110" customWidth="1"/>
    <col min="7941" max="7941" width="9.5703125" style="110" customWidth="1"/>
    <col min="7942" max="7942" width="12.85546875" style="110" customWidth="1"/>
    <col min="7943" max="7943" width="20.140625" style="110" customWidth="1"/>
    <col min="7944" max="7944" width="16.85546875" style="110" customWidth="1"/>
    <col min="7945" max="7945" width="16.5703125" style="110" customWidth="1"/>
    <col min="7946" max="7946" width="14.28515625" style="110" customWidth="1"/>
    <col min="7947" max="8192" width="9.28515625" style="110"/>
    <col min="8193" max="8193" width="4.7109375" style="110" customWidth="1"/>
    <col min="8194" max="8194" width="28.42578125" style="110" customWidth="1"/>
    <col min="8195" max="8195" width="5.7109375" style="110" customWidth="1"/>
    <col min="8196" max="8196" width="15.85546875" style="110" customWidth="1"/>
    <col min="8197" max="8197" width="9.5703125" style="110" customWidth="1"/>
    <col min="8198" max="8198" width="12.85546875" style="110" customWidth="1"/>
    <col min="8199" max="8199" width="20.140625" style="110" customWidth="1"/>
    <col min="8200" max="8200" width="16.85546875" style="110" customWidth="1"/>
    <col min="8201" max="8201" width="16.5703125" style="110" customWidth="1"/>
    <col min="8202" max="8202" width="14.28515625" style="110" customWidth="1"/>
    <col min="8203" max="8448" width="9.28515625" style="110"/>
    <col min="8449" max="8449" width="4.7109375" style="110" customWidth="1"/>
    <col min="8450" max="8450" width="28.42578125" style="110" customWidth="1"/>
    <col min="8451" max="8451" width="5.7109375" style="110" customWidth="1"/>
    <col min="8452" max="8452" width="15.85546875" style="110" customWidth="1"/>
    <col min="8453" max="8453" width="9.5703125" style="110" customWidth="1"/>
    <col min="8454" max="8454" width="12.85546875" style="110" customWidth="1"/>
    <col min="8455" max="8455" width="20.140625" style="110" customWidth="1"/>
    <col min="8456" max="8456" width="16.85546875" style="110" customWidth="1"/>
    <col min="8457" max="8457" width="16.5703125" style="110" customWidth="1"/>
    <col min="8458" max="8458" width="14.28515625" style="110" customWidth="1"/>
    <col min="8459" max="8704" width="9.28515625" style="110"/>
    <col min="8705" max="8705" width="4.7109375" style="110" customWidth="1"/>
    <col min="8706" max="8706" width="28.42578125" style="110" customWidth="1"/>
    <col min="8707" max="8707" width="5.7109375" style="110" customWidth="1"/>
    <col min="8708" max="8708" width="15.85546875" style="110" customWidth="1"/>
    <col min="8709" max="8709" width="9.5703125" style="110" customWidth="1"/>
    <col min="8710" max="8710" width="12.85546875" style="110" customWidth="1"/>
    <col min="8711" max="8711" width="20.140625" style="110" customWidth="1"/>
    <col min="8712" max="8712" width="16.85546875" style="110" customWidth="1"/>
    <col min="8713" max="8713" width="16.5703125" style="110" customWidth="1"/>
    <col min="8714" max="8714" width="14.28515625" style="110" customWidth="1"/>
    <col min="8715" max="8960" width="9.28515625" style="110"/>
    <col min="8961" max="8961" width="4.7109375" style="110" customWidth="1"/>
    <col min="8962" max="8962" width="28.42578125" style="110" customWidth="1"/>
    <col min="8963" max="8963" width="5.7109375" style="110" customWidth="1"/>
    <col min="8964" max="8964" width="15.85546875" style="110" customWidth="1"/>
    <col min="8965" max="8965" width="9.5703125" style="110" customWidth="1"/>
    <col min="8966" max="8966" width="12.85546875" style="110" customWidth="1"/>
    <col min="8967" max="8967" width="20.140625" style="110" customWidth="1"/>
    <col min="8968" max="8968" width="16.85546875" style="110" customWidth="1"/>
    <col min="8969" max="8969" width="16.5703125" style="110" customWidth="1"/>
    <col min="8970" max="8970" width="14.28515625" style="110" customWidth="1"/>
    <col min="8971" max="9216" width="9.28515625" style="110"/>
    <col min="9217" max="9217" width="4.7109375" style="110" customWidth="1"/>
    <col min="9218" max="9218" width="28.42578125" style="110" customWidth="1"/>
    <col min="9219" max="9219" width="5.7109375" style="110" customWidth="1"/>
    <col min="9220" max="9220" width="15.85546875" style="110" customWidth="1"/>
    <col min="9221" max="9221" width="9.5703125" style="110" customWidth="1"/>
    <col min="9222" max="9222" width="12.85546875" style="110" customWidth="1"/>
    <col min="9223" max="9223" width="20.140625" style="110" customWidth="1"/>
    <col min="9224" max="9224" width="16.85546875" style="110" customWidth="1"/>
    <col min="9225" max="9225" width="16.5703125" style="110" customWidth="1"/>
    <col min="9226" max="9226" width="14.28515625" style="110" customWidth="1"/>
    <col min="9227" max="9472" width="9.28515625" style="110"/>
    <col min="9473" max="9473" width="4.7109375" style="110" customWidth="1"/>
    <col min="9474" max="9474" width="28.42578125" style="110" customWidth="1"/>
    <col min="9475" max="9475" width="5.7109375" style="110" customWidth="1"/>
    <col min="9476" max="9476" width="15.85546875" style="110" customWidth="1"/>
    <col min="9477" max="9477" width="9.5703125" style="110" customWidth="1"/>
    <col min="9478" max="9478" width="12.85546875" style="110" customWidth="1"/>
    <col min="9479" max="9479" width="20.140625" style="110" customWidth="1"/>
    <col min="9480" max="9480" width="16.85546875" style="110" customWidth="1"/>
    <col min="9481" max="9481" width="16.5703125" style="110" customWidth="1"/>
    <col min="9482" max="9482" width="14.28515625" style="110" customWidth="1"/>
    <col min="9483" max="9728" width="9.28515625" style="110"/>
    <col min="9729" max="9729" width="4.7109375" style="110" customWidth="1"/>
    <col min="9730" max="9730" width="28.42578125" style="110" customWidth="1"/>
    <col min="9731" max="9731" width="5.7109375" style="110" customWidth="1"/>
    <col min="9732" max="9732" width="15.85546875" style="110" customWidth="1"/>
    <col min="9733" max="9733" width="9.5703125" style="110" customWidth="1"/>
    <col min="9734" max="9734" width="12.85546875" style="110" customWidth="1"/>
    <col min="9735" max="9735" width="20.140625" style="110" customWidth="1"/>
    <col min="9736" max="9736" width="16.85546875" style="110" customWidth="1"/>
    <col min="9737" max="9737" width="16.5703125" style="110" customWidth="1"/>
    <col min="9738" max="9738" width="14.28515625" style="110" customWidth="1"/>
    <col min="9739" max="9984" width="9.28515625" style="110"/>
    <col min="9985" max="9985" width="4.7109375" style="110" customWidth="1"/>
    <col min="9986" max="9986" width="28.42578125" style="110" customWidth="1"/>
    <col min="9987" max="9987" width="5.7109375" style="110" customWidth="1"/>
    <col min="9988" max="9988" width="15.85546875" style="110" customWidth="1"/>
    <col min="9989" max="9989" width="9.5703125" style="110" customWidth="1"/>
    <col min="9990" max="9990" width="12.85546875" style="110" customWidth="1"/>
    <col min="9991" max="9991" width="20.140625" style="110" customWidth="1"/>
    <col min="9992" max="9992" width="16.85546875" style="110" customWidth="1"/>
    <col min="9993" max="9993" width="16.5703125" style="110" customWidth="1"/>
    <col min="9994" max="9994" width="14.28515625" style="110" customWidth="1"/>
    <col min="9995" max="10240" width="9.28515625" style="110"/>
    <col min="10241" max="10241" width="4.7109375" style="110" customWidth="1"/>
    <col min="10242" max="10242" width="28.42578125" style="110" customWidth="1"/>
    <col min="10243" max="10243" width="5.7109375" style="110" customWidth="1"/>
    <col min="10244" max="10244" width="15.85546875" style="110" customWidth="1"/>
    <col min="10245" max="10245" width="9.5703125" style="110" customWidth="1"/>
    <col min="10246" max="10246" width="12.85546875" style="110" customWidth="1"/>
    <col min="10247" max="10247" width="20.140625" style="110" customWidth="1"/>
    <col min="10248" max="10248" width="16.85546875" style="110" customWidth="1"/>
    <col min="10249" max="10249" width="16.5703125" style="110" customWidth="1"/>
    <col min="10250" max="10250" width="14.28515625" style="110" customWidth="1"/>
    <col min="10251" max="10496" width="9.28515625" style="110"/>
    <col min="10497" max="10497" width="4.7109375" style="110" customWidth="1"/>
    <col min="10498" max="10498" width="28.42578125" style="110" customWidth="1"/>
    <col min="10499" max="10499" width="5.7109375" style="110" customWidth="1"/>
    <col min="10500" max="10500" width="15.85546875" style="110" customWidth="1"/>
    <col min="10501" max="10501" width="9.5703125" style="110" customWidth="1"/>
    <col min="10502" max="10502" width="12.85546875" style="110" customWidth="1"/>
    <col min="10503" max="10503" width="20.140625" style="110" customWidth="1"/>
    <col min="10504" max="10504" width="16.85546875" style="110" customWidth="1"/>
    <col min="10505" max="10505" width="16.5703125" style="110" customWidth="1"/>
    <col min="10506" max="10506" width="14.28515625" style="110" customWidth="1"/>
    <col min="10507" max="10752" width="9.28515625" style="110"/>
    <col min="10753" max="10753" width="4.7109375" style="110" customWidth="1"/>
    <col min="10754" max="10754" width="28.42578125" style="110" customWidth="1"/>
    <col min="10755" max="10755" width="5.7109375" style="110" customWidth="1"/>
    <col min="10756" max="10756" width="15.85546875" style="110" customWidth="1"/>
    <col min="10757" max="10757" width="9.5703125" style="110" customWidth="1"/>
    <col min="10758" max="10758" width="12.85546875" style="110" customWidth="1"/>
    <col min="10759" max="10759" width="20.140625" style="110" customWidth="1"/>
    <col min="10760" max="10760" width="16.85546875" style="110" customWidth="1"/>
    <col min="10761" max="10761" width="16.5703125" style="110" customWidth="1"/>
    <col min="10762" max="10762" width="14.28515625" style="110" customWidth="1"/>
    <col min="10763" max="11008" width="9.28515625" style="110"/>
    <col min="11009" max="11009" width="4.7109375" style="110" customWidth="1"/>
    <col min="11010" max="11010" width="28.42578125" style="110" customWidth="1"/>
    <col min="11011" max="11011" width="5.7109375" style="110" customWidth="1"/>
    <col min="11012" max="11012" width="15.85546875" style="110" customWidth="1"/>
    <col min="11013" max="11013" width="9.5703125" style="110" customWidth="1"/>
    <col min="11014" max="11014" width="12.85546875" style="110" customWidth="1"/>
    <col min="11015" max="11015" width="20.140625" style="110" customWidth="1"/>
    <col min="11016" max="11016" width="16.85546875" style="110" customWidth="1"/>
    <col min="11017" max="11017" width="16.5703125" style="110" customWidth="1"/>
    <col min="11018" max="11018" width="14.28515625" style="110" customWidth="1"/>
    <col min="11019" max="11264" width="9.28515625" style="110"/>
    <col min="11265" max="11265" width="4.7109375" style="110" customWidth="1"/>
    <col min="11266" max="11266" width="28.42578125" style="110" customWidth="1"/>
    <col min="11267" max="11267" width="5.7109375" style="110" customWidth="1"/>
    <col min="11268" max="11268" width="15.85546875" style="110" customWidth="1"/>
    <col min="11269" max="11269" width="9.5703125" style="110" customWidth="1"/>
    <col min="11270" max="11270" width="12.85546875" style="110" customWidth="1"/>
    <col min="11271" max="11271" width="20.140625" style="110" customWidth="1"/>
    <col min="11272" max="11272" width="16.85546875" style="110" customWidth="1"/>
    <col min="11273" max="11273" width="16.5703125" style="110" customWidth="1"/>
    <col min="11274" max="11274" width="14.28515625" style="110" customWidth="1"/>
    <col min="11275" max="11520" width="9.28515625" style="110"/>
    <col min="11521" max="11521" width="4.7109375" style="110" customWidth="1"/>
    <col min="11522" max="11522" width="28.42578125" style="110" customWidth="1"/>
    <col min="11523" max="11523" width="5.7109375" style="110" customWidth="1"/>
    <col min="11524" max="11524" width="15.85546875" style="110" customWidth="1"/>
    <col min="11525" max="11525" width="9.5703125" style="110" customWidth="1"/>
    <col min="11526" max="11526" width="12.85546875" style="110" customWidth="1"/>
    <col min="11527" max="11527" width="20.140625" style="110" customWidth="1"/>
    <col min="11528" max="11528" width="16.85546875" style="110" customWidth="1"/>
    <col min="11529" max="11529" width="16.5703125" style="110" customWidth="1"/>
    <col min="11530" max="11530" width="14.28515625" style="110" customWidth="1"/>
    <col min="11531" max="11776" width="9.28515625" style="110"/>
    <col min="11777" max="11777" width="4.7109375" style="110" customWidth="1"/>
    <col min="11778" max="11778" width="28.42578125" style="110" customWidth="1"/>
    <col min="11779" max="11779" width="5.7109375" style="110" customWidth="1"/>
    <col min="11780" max="11780" width="15.85546875" style="110" customWidth="1"/>
    <col min="11781" max="11781" width="9.5703125" style="110" customWidth="1"/>
    <col min="11782" max="11782" width="12.85546875" style="110" customWidth="1"/>
    <col min="11783" max="11783" width="20.140625" style="110" customWidth="1"/>
    <col min="11784" max="11784" width="16.85546875" style="110" customWidth="1"/>
    <col min="11785" max="11785" width="16.5703125" style="110" customWidth="1"/>
    <col min="11786" max="11786" width="14.28515625" style="110" customWidth="1"/>
    <col min="11787" max="12032" width="9.28515625" style="110"/>
    <col min="12033" max="12033" width="4.7109375" style="110" customWidth="1"/>
    <col min="12034" max="12034" width="28.42578125" style="110" customWidth="1"/>
    <col min="12035" max="12035" width="5.7109375" style="110" customWidth="1"/>
    <col min="12036" max="12036" width="15.85546875" style="110" customWidth="1"/>
    <col min="12037" max="12037" width="9.5703125" style="110" customWidth="1"/>
    <col min="12038" max="12038" width="12.85546875" style="110" customWidth="1"/>
    <col min="12039" max="12039" width="20.140625" style="110" customWidth="1"/>
    <col min="12040" max="12040" width="16.85546875" style="110" customWidth="1"/>
    <col min="12041" max="12041" width="16.5703125" style="110" customWidth="1"/>
    <col min="12042" max="12042" width="14.28515625" style="110" customWidth="1"/>
    <col min="12043" max="12288" width="9.28515625" style="110"/>
    <col min="12289" max="12289" width="4.7109375" style="110" customWidth="1"/>
    <col min="12290" max="12290" width="28.42578125" style="110" customWidth="1"/>
    <col min="12291" max="12291" width="5.7109375" style="110" customWidth="1"/>
    <col min="12292" max="12292" width="15.85546875" style="110" customWidth="1"/>
    <col min="12293" max="12293" width="9.5703125" style="110" customWidth="1"/>
    <col min="12294" max="12294" width="12.85546875" style="110" customWidth="1"/>
    <col min="12295" max="12295" width="20.140625" style="110" customWidth="1"/>
    <col min="12296" max="12296" width="16.85546875" style="110" customWidth="1"/>
    <col min="12297" max="12297" width="16.5703125" style="110" customWidth="1"/>
    <col min="12298" max="12298" width="14.28515625" style="110" customWidth="1"/>
    <col min="12299" max="12544" width="9.28515625" style="110"/>
    <col min="12545" max="12545" width="4.7109375" style="110" customWidth="1"/>
    <col min="12546" max="12546" width="28.42578125" style="110" customWidth="1"/>
    <col min="12547" max="12547" width="5.7109375" style="110" customWidth="1"/>
    <col min="12548" max="12548" width="15.85546875" style="110" customWidth="1"/>
    <col min="12549" max="12549" width="9.5703125" style="110" customWidth="1"/>
    <col min="12550" max="12550" width="12.85546875" style="110" customWidth="1"/>
    <col min="12551" max="12551" width="20.140625" style="110" customWidth="1"/>
    <col min="12552" max="12552" width="16.85546875" style="110" customWidth="1"/>
    <col min="12553" max="12553" width="16.5703125" style="110" customWidth="1"/>
    <col min="12554" max="12554" width="14.28515625" style="110" customWidth="1"/>
    <col min="12555" max="12800" width="9.28515625" style="110"/>
    <col min="12801" max="12801" width="4.7109375" style="110" customWidth="1"/>
    <col min="12802" max="12802" width="28.42578125" style="110" customWidth="1"/>
    <col min="12803" max="12803" width="5.7109375" style="110" customWidth="1"/>
    <col min="12804" max="12804" width="15.85546875" style="110" customWidth="1"/>
    <col min="12805" max="12805" width="9.5703125" style="110" customWidth="1"/>
    <col min="12806" max="12806" width="12.85546875" style="110" customWidth="1"/>
    <col min="12807" max="12807" width="20.140625" style="110" customWidth="1"/>
    <col min="12808" max="12808" width="16.85546875" style="110" customWidth="1"/>
    <col min="12809" max="12809" width="16.5703125" style="110" customWidth="1"/>
    <col min="12810" max="12810" width="14.28515625" style="110" customWidth="1"/>
    <col min="12811" max="13056" width="9.28515625" style="110"/>
    <col min="13057" max="13057" width="4.7109375" style="110" customWidth="1"/>
    <col min="13058" max="13058" width="28.42578125" style="110" customWidth="1"/>
    <col min="13059" max="13059" width="5.7109375" style="110" customWidth="1"/>
    <col min="13060" max="13060" width="15.85546875" style="110" customWidth="1"/>
    <col min="13061" max="13061" width="9.5703125" style="110" customWidth="1"/>
    <col min="13062" max="13062" width="12.85546875" style="110" customWidth="1"/>
    <col min="13063" max="13063" width="20.140625" style="110" customWidth="1"/>
    <col min="13064" max="13064" width="16.85546875" style="110" customWidth="1"/>
    <col min="13065" max="13065" width="16.5703125" style="110" customWidth="1"/>
    <col min="13066" max="13066" width="14.28515625" style="110" customWidth="1"/>
    <col min="13067" max="13312" width="9.28515625" style="110"/>
    <col min="13313" max="13313" width="4.7109375" style="110" customWidth="1"/>
    <col min="13314" max="13314" width="28.42578125" style="110" customWidth="1"/>
    <col min="13315" max="13315" width="5.7109375" style="110" customWidth="1"/>
    <col min="13316" max="13316" width="15.85546875" style="110" customWidth="1"/>
    <col min="13317" max="13317" width="9.5703125" style="110" customWidth="1"/>
    <col min="13318" max="13318" width="12.85546875" style="110" customWidth="1"/>
    <col min="13319" max="13319" width="20.140625" style="110" customWidth="1"/>
    <col min="13320" max="13320" width="16.85546875" style="110" customWidth="1"/>
    <col min="13321" max="13321" width="16.5703125" style="110" customWidth="1"/>
    <col min="13322" max="13322" width="14.28515625" style="110" customWidth="1"/>
    <col min="13323" max="13568" width="9.28515625" style="110"/>
    <col min="13569" max="13569" width="4.7109375" style="110" customWidth="1"/>
    <col min="13570" max="13570" width="28.42578125" style="110" customWidth="1"/>
    <col min="13571" max="13571" width="5.7109375" style="110" customWidth="1"/>
    <col min="13572" max="13572" width="15.85546875" style="110" customWidth="1"/>
    <col min="13573" max="13573" width="9.5703125" style="110" customWidth="1"/>
    <col min="13574" max="13574" width="12.85546875" style="110" customWidth="1"/>
    <col min="13575" max="13575" width="20.140625" style="110" customWidth="1"/>
    <col min="13576" max="13576" width="16.85546875" style="110" customWidth="1"/>
    <col min="13577" max="13577" width="16.5703125" style="110" customWidth="1"/>
    <col min="13578" max="13578" width="14.28515625" style="110" customWidth="1"/>
    <col min="13579" max="13824" width="9.28515625" style="110"/>
    <col min="13825" max="13825" width="4.7109375" style="110" customWidth="1"/>
    <col min="13826" max="13826" width="28.42578125" style="110" customWidth="1"/>
    <col min="13827" max="13827" width="5.7109375" style="110" customWidth="1"/>
    <col min="13828" max="13828" width="15.85546875" style="110" customWidth="1"/>
    <col min="13829" max="13829" width="9.5703125" style="110" customWidth="1"/>
    <col min="13830" max="13830" width="12.85546875" style="110" customWidth="1"/>
    <col min="13831" max="13831" width="20.140625" style="110" customWidth="1"/>
    <col min="13832" max="13832" width="16.85546875" style="110" customWidth="1"/>
    <col min="13833" max="13833" width="16.5703125" style="110" customWidth="1"/>
    <col min="13834" max="13834" width="14.28515625" style="110" customWidth="1"/>
    <col min="13835" max="14080" width="9.28515625" style="110"/>
    <col min="14081" max="14081" width="4.7109375" style="110" customWidth="1"/>
    <col min="14082" max="14082" width="28.42578125" style="110" customWidth="1"/>
    <col min="14083" max="14083" width="5.7109375" style="110" customWidth="1"/>
    <col min="14084" max="14084" width="15.85546875" style="110" customWidth="1"/>
    <col min="14085" max="14085" width="9.5703125" style="110" customWidth="1"/>
    <col min="14086" max="14086" width="12.85546875" style="110" customWidth="1"/>
    <col min="14087" max="14087" width="20.140625" style="110" customWidth="1"/>
    <col min="14088" max="14088" width="16.85546875" style="110" customWidth="1"/>
    <col min="14089" max="14089" width="16.5703125" style="110" customWidth="1"/>
    <col min="14090" max="14090" width="14.28515625" style="110" customWidth="1"/>
    <col min="14091" max="14336" width="9.28515625" style="110"/>
    <col min="14337" max="14337" width="4.7109375" style="110" customWidth="1"/>
    <col min="14338" max="14338" width="28.42578125" style="110" customWidth="1"/>
    <col min="14339" max="14339" width="5.7109375" style="110" customWidth="1"/>
    <col min="14340" max="14340" width="15.85546875" style="110" customWidth="1"/>
    <col min="14341" max="14341" width="9.5703125" style="110" customWidth="1"/>
    <col min="14342" max="14342" width="12.85546875" style="110" customWidth="1"/>
    <col min="14343" max="14343" width="20.140625" style="110" customWidth="1"/>
    <col min="14344" max="14344" width="16.85546875" style="110" customWidth="1"/>
    <col min="14345" max="14345" width="16.5703125" style="110" customWidth="1"/>
    <col min="14346" max="14346" width="14.28515625" style="110" customWidth="1"/>
    <col min="14347" max="14592" width="9.28515625" style="110"/>
    <col min="14593" max="14593" width="4.7109375" style="110" customWidth="1"/>
    <col min="14594" max="14594" width="28.42578125" style="110" customWidth="1"/>
    <col min="14595" max="14595" width="5.7109375" style="110" customWidth="1"/>
    <col min="14596" max="14596" width="15.85546875" style="110" customWidth="1"/>
    <col min="14597" max="14597" width="9.5703125" style="110" customWidth="1"/>
    <col min="14598" max="14598" width="12.85546875" style="110" customWidth="1"/>
    <col min="14599" max="14599" width="20.140625" style="110" customWidth="1"/>
    <col min="14600" max="14600" width="16.85546875" style="110" customWidth="1"/>
    <col min="14601" max="14601" width="16.5703125" style="110" customWidth="1"/>
    <col min="14602" max="14602" width="14.28515625" style="110" customWidth="1"/>
    <col min="14603" max="14848" width="9.28515625" style="110"/>
    <col min="14849" max="14849" width="4.7109375" style="110" customWidth="1"/>
    <col min="14850" max="14850" width="28.42578125" style="110" customWidth="1"/>
    <col min="14851" max="14851" width="5.7109375" style="110" customWidth="1"/>
    <col min="14852" max="14852" width="15.85546875" style="110" customWidth="1"/>
    <col min="14853" max="14853" width="9.5703125" style="110" customWidth="1"/>
    <col min="14854" max="14854" width="12.85546875" style="110" customWidth="1"/>
    <col min="14855" max="14855" width="20.140625" style="110" customWidth="1"/>
    <col min="14856" max="14856" width="16.85546875" style="110" customWidth="1"/>
    <col min="14857" max="14857" width="16.5703125" style="110" customWidth="1"/>
    <col min="14858" max="14858" width="14.28515625" style="110" customWidth="1"/>
    <col min="14859" max="15104" width="9.28515625" style="110"/>
    <col min="15105" max="15105" width="4.7109375" style="110" customWidth="1"/>
    <col min="15106" max="15106" width="28.42578125" style="110" customWidth="1"/>
    <col min="15107" max="15107" width="5.7109375" style="110" customWidth="1"/>
    <col min="15108" max="15108" width="15.85546875" style="110" customWidth="1"/>
    <col min="15109" max="15109" width="9.5703125" style="110" customWidth="1"/>
    <col min="15110" max="15110" width="12.85546875" style="110" customWidth="1"/>
    <col min="15111" max="15111" width="20.140625" style="110" customWidth="1"/>
    <col min="15112" max="15112" width="16.85546875" style="110" customWidth="1"/>
    <col min="15113" max="15113" width="16.5703125" style="110" customWidth="1"/>
    <col min="15114" max="15114" width="14.28515625" style="110" customWidth="1"/>
    <col min="15115" max="15360" width="9.28515625" style="110"/>
    <col min="15361" max="15361" width="4.7109375" style="110" customWidth="1"/>
    <col min="15362" max="15362" width="28.42578125" style="110" customWidth="1"/>
    <col min="15363" max="15363" width="5.7109375" style="110" customWidth="1"/>
    <col min="15364" max="15364" width="15.85546875" style="110" customWidth="1"/>
    <col min="15365" max="15365" width="9.5703125" style="110" customWidth="1"/>
    <col min="15366" max="15366" width="12.85546875" style="110" customWidth="1"/>
    <col min="15367" max="15367" width="20.140625" style="110" customWidth="1"/>
    <col min="15368" max="15368" width="16.85546875" style="110" customWidth="1"/>
    <col min="15369" max="15369" width="16.5703125" style="110" customWidth="1"/>
    <col min="15370" max="15370" width="14.28515625" style="110" customWidth="1"/>
    <col min="15371" max="15616" width="9.28515625" style="110"/>
    <col min="15617" max="15617" width="4.7109375" style="110" customWidth="1"/>
    <col min="15618" max="15618" width="28.42578125" style="110" customWidth="1"/>
    <col min="15619" max="15619" width="5.7109375" style="110" customWidth="1"/>
    <col min="15620" max="15620" width="15.85546875" style="110" customWidth="1"/>
    <col min="15621" max="15621" width="9.5703125" style="110" customWidth="1"/>
    <col min="15622" max="15622" width="12.85546875" style="110" customWidth="1"/>
    <col min="15623" max="15623" width="20.140625" style="110" customWidth="1"/>
    <col min="15624" max="15624" width="16.85546875" style="110" customWidth="1"/>
    <col min="15625" max="15625" width="16.5703125" style="110" customWidth="1"/>
    <col min="15626" max="15626" width="14.28515625" style="110" customWidth="1"/>
    <col min="15627" max="15872" width="9.28515625" style="110"/>
    <col min="15873" max="15873" width="4.7109375" style="110" customWidth="1"/>
    <col min="15874" max="15874" width="28.42578125" style="110" customWidth="1"/>
    <col min="15875" max="15875" width="5.7109375" style="110" customWidth="1"/>
    <col min="15876" max="15876" width="15.85546875" style="110" customWidth="1"/>
    <col min="15877" max="15877" width="9.5703125" style="110" customWidth="1"/>
    <col min="15878" max="15878" width="12.85546875" style="110" customWidth="1"/>
    <col min="15879" max="15879" width="20.140625" style="110" customWidth="1"/>
    <col min="15880" max="15880" width="16.85546875" style="110" customWidth="1"/>
    <col min="15881" max="15881" width="16.5703125" style="110" customWidth="1"/>
    <col min="15882" max="15882" width="14.28515625" style="110" customWidth="1"/>
    <col min="15883" max="16128" width="9.28515625" style="110"/>
    <col min="16129" max="16129" width="4.7109375" style="110" customWidth="1"/>
    <col min="16130" max="16130" width="28.42578125" style="110" customWidth="1"/>
    <col min="16131" max="16131" width="5.7109375" style="110" customWidth="1"/>
    <col min="16132" max="16132" width="15.85546875" style="110" customWidth="1"/>
    <col min="16133" max="16133" width="9.5703125" style="110" customWidth="1"/>
    <col min="16134" max="16134" width="12.85546875" style="110" customWidth="1"/>
    <col min="16135" max="16135" width="20.140625" style="110" customWidth="1"/>
    <col min="16136" max="16136" width="16.85546875" style="110" customWidth="1"/>
    <col min="16137" max="16137" width="16.5703125" style="110" customWidth="1"/>
    <col min="16138" max="16138" width="14.28515625" style="110" customWidth="1"/>
    <col min="16139" max="16384" width="9.28515625" style="110"/>
  </cols>
  <sheetData>
    <row r="1" spans="1:10" ht="21.75" customHeight="1">
      <c r="A1" s="314" t="s">
        <v>280</v>
      </c>
      <c r="B1" s="314"/>
      <c r="C1" s="314"/>
      <c r="D1" s="314"/>
      <c r="E1" s="314"/>
      <c r="F1" s="314"/>
      <c r="G1" s="314"/>
      <c r="H1" s="314"/>
      <c r="I1" s="314"/>
    </row>
    <row r="2" spans="1:10" ht="28.5" customHeight="1">
      <c r="A2" s="315" t="s">
        <v>155</v>
      </c>
      <c r="B2" s="316"/>
      <c r="C2" s="316"/>
      <c r="D2" s="316"/>
      <c r="E2" s="316"/>
      <c r="F2" s="316"/>
      <c r="G2" s="316"/>
      <c r="H2" s="316"/>
      <c r="I2" s="316"/>
    </row>
    <row r="3" spans="1:10" s="111" customFormat="1" ht="16.5" customHeight="1">
      <c r="A3" s="317" t="s">
        <v>172</v>
      </c>
      <c r="B3" s="317"/>
      <c r="C3" s="317"/>
      <c r="D3" s="317"/>
      <c r="E3" s="317"/>
      <c r="F3" s="317"/>
      <c r="G3" s="317"/>
      <c r="H3" s="317"/>
      <c r="I3" s="317"/>
    </row>
    <row r="4" spans="1:10" ht="1.5" customHeight="1"/>
    <row r="5" spans="1:10" s="119" customFormat="1" ht="66.75" customHeight="1">
      <c r="A5" s="114" t="s">
        <v>129</v>
      </c>
      <c r="B5" s="115" t="s">
        <v>156</v>
      </c>
      <c r="C5" s="116" t="s">
        <v>157</v>
      </c>
      <c r="D5" s="114" t="s">
        <v>158</v>
      </c>
      <c r="E5" s="114" t="s">
        <v>159</v>
      </c>
      <c r="F5" s="117" t="s">
        <v>160</v>
      </c>
      <c r="G5" s="117" t="s">
        <v>161</v>
      </c>
      <c r="H5" s="117" t="s">
        <v>162</v>
      </c>
      <c r="I5" s="118" t="s">
        <v>2</v>
      </c>
    </row>
    <row r="6" spans="1:10" s="123" customFormat="1" ht="18" customHeight="1">
      <c r="A6" s="120" t="s">
        <v>130</v>
      </c>
      <c r="B6" s="121" t="s">
        <v>166</v>
      </c>
      <c r="C6" s="128"/>
      <c r="D6" s="126"/>
      <c r="E6" s="246"/>
      <c r="F6" s="127"/>
      <c r="G6" s="125"/>
      <c r="H6" s="129">
        <f>SUM(H7+H10)</f>
        <v>311500000</v>
      </c>
      <c r="I6" s="318"/>
      <c r="J6" s="122"/>
    </row>
    <row r="7" spans="1:10" s="123" customFormat="1" ht="27" customHeight="1">
      <c r="A7" s="130">
        <v>1</v>
      </c>
      <c r="B7" s="121" t="s">
        <v>167</v>
      </c>
      <c r="C7" s="128"/>
      <c r="D7" s="126"/>
      <c r="E7" s="246"/>
      <c r="F7" s="131"/>
      <c r="G7" s="132"/>
      <c r="H7" s="133">
        <f>SUM(H8:H9)</f>
        <v>186900000</v>
      </c>
      <c r="I7" s="318"/>
      <c r="J7" s="122"/>
    </row>
    <row r="8" spans="1:10" s="141" customFormat="1" ht="18.75" customHeight="1">
      <c r="A8" s="134" t="s">
        <v>168</v>
      </c>
      <c r="B8" s="135" t="s">
        <v>163</v>
      </c>
      <c r="C8" s="136">
        <v>79</v>
      </c>
      <c r="D8" s="137" t="s">
        <v>164</v>
      </c>
      <c r="E8" s="247">
        <v>10</v>
      </c>
      <c r="F8" s="138">
        <f>300000</f>
        <v>300000</v>
      </c>
      <c r="G8" s="139">
        <f>210000</f>
        <v>210000</v>
      </c>
      <c r="H8" s="136">
        <f>SUM(C8*E8*G8)</f>
        <v>165900000</v>
      </c>
      <c r="I8" s="318"/>
      <c r="J8" s="140"/>
    </row>
    <row r="9" spans="1:10" s="141" customFormat="1" ht="17.25" customHeight="1">
      <c r="A9" s="134" t="s">
        <v>169</v>
      </c>
      <c r="B9" s="135" t="s">
        <v>165</v>
      </c>
      <c r="C9" s="136">
        <v>10</v>
      </c>
      <c r="D9" s="137" t="s">
        <v>164</v>
      </c>
      <c r="E9" s="248">
        <v>10</v>
      </c>
      <c r="F9" s="138">
        <f>300000</f>
        <v>300000</v>
      </c>
      <c r="G9" s="139">
        <f>210000</f>
        <v>210000</v>
      </c>
      <c r="H9" s="136">
        <f>SUM(C9*E9*G9)</f>
        <v>21000000</v>
      </c>
      <c r="I9" s="318"/>
      <c r="J9" s="140"/>
    </row>
    <row r="10" spans="1:10" s="123" customFormat="1" ht="24" customHeight="1">
      <c r="A10" s="142">
        <v>2</v>
      </c>
      <c r="B10" s="143" t="s">
        <v>170</v>
      </c>
      <c r="C10" s="144"/>
      <c r="D10" s="145"/>
      <c r="E10" s="249"/>
      <c r="F10" s="146"/>
      <c r="G10" s="132"/>
      <c r="H10" s="146">
        <f>SUM(H11:H12)</f>
        <v>124600000</v>
      </c>
      <c r="I10" s="318"/>
      <c r="J10" s="122"/>
    </row>
    <row r="11" spans="1:10" s="141" customFormat="1" ht="19.5" customHeight="1">
      <c r="A11" s="134">
        <v>2.1</v>
      </c>
      <c r="B11" s="135" t="s">
        <v>163</v>
      </c>
      <c r="C11" s="147">
        <v>79</v>
      </c>
      <c r="D11" s="137" t="s">
        <v>164</v>
      </c>
      <c r="E11" s="247">
        <v>5</v>
      </c>
      <c r="F11" s="138">
        <f>400000</f>
        <v>400000</v>
      </c>
      <c r="G11" s="139">
        <f>280000</f>
        <v>280000</v>
      </c>
      <c r="H11" s="136">
        <f>SUM(C11*E11*G11)</f>
        <v>110600000</v>
      </c>
      <c r="I11" s="318"/>
      <c r="J11" s="140"/>
    </row>
    <row r="12" spans="1:10" s="141" customFormat="1" ht="19.5" customHeight="1">
      <c r="A12" s="148">
        <v>2.2000000000000002</v>
      </c>
      <c r="B12" s="149" t="s">
        <v>165</v>
      </c>
      <c r="C12" s="150">
        <v>10</v>
      </c>
      <c r="D12" s="137" t="s">
        <v>164</v>
      </c>
      <c r="E12" s="250">
        <v>5</v>
      </c>
      <c r="F12" s="138">
        <f>400000</f>
        <v>400000</v>
      </c>
      <c r="G12" s="139">
        <f>280000</f>
        <v>280000</v>
      </c>
      <c r="H12" s="136">
        <f>SUM(C12*E12*G12)</f>
        <v>14000000</v>
      </c>
      <c r="I12" s="318"/>
      <c r="J12" s="140"/>
    </row>
    <row r="13" spans="1:10" ht="18.75" customHeight="1">
      <c r="A13" s="151"/>
      <c r="B13" s="152" t="s">
        <v>171</v>
      </c>
      <c r="C13" s="153"/>
      <c r="D13" s="154"/>
      <c r="E13" s="155"/>
      <c r="F13" s="155"/>
      <c r="G13" s="155"/>
      <c r="H13" s="156">
        <f>SUM(H6+H10)</f>
        <v>436100000</v>
      </c>
      <c r="I13" s="157"/>
      <c r="J13" s="122"/>
    </row>
    <row r="14" spans="1:10" ht="108.6" customHeight="1">
      <c r="A14" s="158"/>
      <c r="B14" s="159"/>
      <c r="C14" s="160"/>
      <c r="D14" s="161"/>
      <c r="E14" s="161"/>
      <c r="F14" s="161"/>
      <c r="G14" s="161"/>
      <c r="H14" s="161"/>
      <c r="I14" s="162"/>
      <c r="J14" s="122"/>
    </row>
    <row r="15" spans="1:10" ht="108.6" customHeight="1">
      <c r="A15" s="158"/>
      <c r="B15" s="159"/>
      <c r="C15" s="160"/>
      <c r="D15" s="161"/>
      <c r="E15" s="161"/>
      <c r="F15" s="161"/>
      <c r="G15" s="161"/>
      <c r="H15" s="161"/>
      <c r="I15" s="162"/>
      <c r="J15" s="122"/>
    </row>
    <row r="16" spans="1:10" ht="108.6" customHeight="1">
      <c r="A16" s="158"/>
      <c r="B16" s="159"/>
      <c r="C16" s="160"/>
      <c r="D16" s="161"/>
      <c r="E16" s="161"/>
      <c r="F16" s="161"/>
      <c r="G16" s="161"/>
      <c r="H16" s="161"/>
      <c r="I16" s="162"/>
      <c r="J16" s="122"/>
    </row>
    <row r="17" spans="1:10" ht="108.6" customHeight="1">
      <c r="A17" s="158"/>
      <c r="B17" s="159"/>
      <c r="C17" s="160"/>
      <c r="D17" s="161"/>
      <c r="E17" s="161"/>
      <c r="F17" s="161"/>
      <c r="G17" s="161"/>
      <c r="H17" s="161"/>
      <c r="I17" s="162"/>
      <c r="J17" s="122"/>
    </row>
  </sheetData>
  <mergeCells count="4">
    <mergeCell ref="A1:I1"/>
    <mergeCell ref="A2:I2"/>
    <mergeCell ref="A3:I3"/>
    <mergeCell ref="I6:I12"/>
  </mergeCells>
  <pageMargins left="0.43307086614173229" right="0.15748031496062992" top="0.39370078740157483" bottom="0.39370078740157483" header="0.19685039370078741" footer="0.19685039370078741"/>
  <pageSetup paperSize="9" orientation="landscape" r:id="rId1"/>
  <headerFooter>
    <oddFooter>&amp;R&amp;P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E7A43-DEDB-4CC8-AC1A-B8F2CD26E7C4}">
  <sheetPr>
    <pageSetUpPr fitToPage="1"/>
  </sheetPr>
  <dimension ref="A1:F11"/>
  <sheetViews>
    <sheetView workbookViewId="0">
      <selection activeCell="C4" sqref="C4:C5"/>
    </sheetView>
  </sheetViews>
  <sheetFormatPr defaultRowHeight="15"/>
  <cols>
    <col min="1" max="1" width="10.5703125" customWidth="1"/>
    <col min="2" max="2" width="38" customWidth="1"/>
    <col min="3" max="3" width="20.140625" customWidth="1"/>
    <col min="4" max="5" width="14.7109375" customWidth="1"/>
    <col min="6" max="6" width="11.7109375" customWidth="1"/>
  </cols>
  <sheetData>
    <row r="1" spans="1:6" ht="18.75">
      <c r="A1" s="223" t="s">
        <v>281</v>
      </c>
      <c r="B1" s="224"/>
      <c r="C1" s="224"/>
      <c r="D1" s="224"/>
      <c r="E1" s="224"/>
      <c r="F1" s="224"/>
    </row>
    <row r="2" spans="1:6" ht="18.75">
      <c r="A2" s="223" t="s">
        <v>205</v>
      </c>
      <c r="B2" s="224"/>
      <c r="C2" s="224"/>
      <c r="D2" s="224"/>
      <c r="E2" s="224"/>
      <c r="F2" s="224"/>
    </row>
    <row r="4" spans="1:6" ht="40.5" customHeight="1">
      <c r="A4" s="321" t="s">
        <v>129</v>
      </c>
      <c r="B4" s="321" t="s">
        <v>197</v>
      </c>
      <c r="C4" s="321" t="s">
        <v>198</v>
      </c>
      <c r="D4" s="321" t="s">
        <v>199</v>
      </c>
      <c r="E4" s="321"/>
      <c r="F4" s="319" t="s">
        <v>2</v>
      </c>
    </row>
    <row r="5" spans="1:6" ht="40.5" customHeight="1">
      <c r="A5" s="321"/>
      <c r="B5" s="321"/>
      <c r="C5" s="321"/>
      <c r="D5" s="225" t="s">
        <v>13</v>
      </c>
      <c r="E5" s="225" t="s">
        <v>12</v>
      </c>
      <c r="F5" s="319"/>
    </row>
    <row r="6" spans="1:6" ht="40.5" customHeight="1">
      <c r="A6" s="44">
        <v>1</v>
      </c>
      <c r="B6" s="226" t="s">
        <v>200</v>
      </c>
      <c r="C6" s="44">
        <v>16</v>
      </c>
      <c r="D6" s="225">
        <v>2</v>
      </c>
      <c r="E6" s="44">
        <v>14</v>
      </c>
      <c r="F6" s="222"/>
    </row>
    <row r="7" spans="1:6" ht="40.5" customHeight="1">
      <c r="A7" s="44">
        <v>2</v>
      </c>
      <c r="B7" s="226" t="s">
        <v>201</v>
      </c>
      <c r="C7" s="44">
        <v>16</v>
      </c>
      <c r="D7" s="225">
        <v>2</v>
      </c>
      <c r="E7" s="44">
        <v>14</v>
      </c>
      <c r="F7" s="222"/>
    </row>
    <row r="8" spans="1:6" ht="40.5" customHeight="1">
      <c r="A8" s="44">
        <v>3</v>
      </c>
      <c r="B8" s="226" t="s">
        <v>202</v>
      </c>
      <c r="C8" s="44">
        <v>14</v>
      </c>
      <c r="D8" s="225">
        <v>2</v>
      </c>
      <c r="E8" s="44">
        <v>12</v>
      </c>
      <c r="F8" s="222"/>
    </row>
    <row r="9" spans="1:6" ht="40.5" customHeight="1">
      <c r="A9" s="44">
        <v>4</v>
      </c>
      <c r="B9" s="226" t="s">
        <v>203</v>
      </c>
      <c r="C9" s="44">
        <v>16</v>
      </c>
      <c r="D9" s="225">
        <v>2</v>
      </c>
      <c r="E9" s="44">
        <v>14</v>
      </c>
      <c r="F9" s="222"/>
    </row>
    <row r="10" spans="1:6" ht="40.5" customHeight="1">
      <c r="A10" s="44">
        <v>5</v>
      </c>
      <c r="B10" s="226" t="s">
        <v>204</v>
      </c>
      <c r="C10" s="44">
        <v>27</v>
      </c>
      <c r="D10" s="225">
        <v>2</v>
      </c>
      <c r="E10" s="44">
        <v>25</v>
      </c>
      <c r="F10" s="222"/>
    </row>
    <row r="11" spans="1:6" ht="40.5" customHeight="1">
      <c r="A11" s="320" t="s">
        <v>78</v>
      </c>
      <c r="B11" s="320"/>
      <c r="C11" s="227">
        <f>SUM(C6:C10)</f>
        <v>89</v>
      </c>
      <c r="D11" s="227">
        <f>SUM(D6:D10)</f>
        <v>10</v>
      </c>
      <c r="E11" s="227">
        <f>SUM(E6:E10)</f>
        <v>79</v>
      </c>
      <c r="F11" s="222"/>
    </row>
  </sheetData>
  <mergeCells count="6">
    <mergeCell ref="F4:F5"/>
    <mergeCell ref="A11:B11"/>
    <mergeCell ref="A4:A5"/>
    <mergeCell ref="B4:B5"/>
    <mergeCell ref="C4:C5"/>
    <mergeCell ref="D4:E4"/>
  </mergeCells>
  <pageMargins left="0.70866141732283472" right="0.70866141732283472" top="0.74803149606299213" bottom="0.74803149606299213" header="0.31496062992125984" footer="0.31496062992125984"/>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F582-5DF5-4BA6-A01D-7E336A2D76BD}">
  <dimension ref="A1:R15"/>
  <sheetViews>
    <sheetView zoomScale="115" zoomScaleNormal="115" workbookViewId="0">
      <selection activeCell="B8" sqref="B8:P8"/>
    </sheetView>
  </sheetViews>
  <sheetFormatPr defaultColWidth="9.28515625" defaultRowHeight="21.75" customHeight="1"/>
  <cols>
    <col min="1" max="1" width="4.42578125" style="112" customWidth="1"/>
    <col min="2" max="2" width="18.42578125" style="110" customWidth="1"/>
    <col min="3" max="3" width="6.42578125" style="110" hidden="1" customWidth="1"/>
    <col min="4" max="4" width="5.85546875" style="110" customWidth="1"/>
    <col min="5" max="5" width="6" style="113" customWidth="1"/>
    <col min="6" max="6" width="5.42578125" style="113" customWidth="1"/>
    <col min="7" max="7" width="16.5703125" style="110" customWidth="1"/>
    <col min="8" max="8" width="10.140625" style="110" customWidth="1"/>
    <col min="9" max="9" width="10.42578125" style="110" customWidth="1"/>
    <col min="10" max="10" width="11.140625" style="110" customWidth="1"/>
    <col min="11" max="11" width="0.140625" style="110" customWidth="1"/>
    <col min="12" max="12" width="1.28515625" style="110" hidden="1" customWidth="1"/>
    <col min="13" max="13" width="2.28515625" style="110" hidden="1" customWidth="1"/>
    <col min="14" max="14" width="12.42578125" style="110" customWidth="1"/>
    <col min="15" max="15" width="12.5703125" style="110" customWidth="1"/>
    <col min="16" max="16" width="12.140625" style="110" customWidth="1"/>
    <col min="17" max="17" width="11.7109375" style="110" customWidth="1"/>
    <col min="18" max="18" width="14.28515625" style="110" customWidth="1"/>
    <col min="19" max="256" width="9.28515625" style="110"/>
    <col min="257" max="257" width="4.42578125" style="110" customWidth="1"/>
    <col min="258" max="258" width="18.42578125" style="110" customWidth="1"/>
    <col min="259" max="259" width="0" style="110" hidden="1" customWidth="1"/>
    <col min="260" max="260" width="5.85546875" style="110" customWidth="1"/>
    <col min="261" max="261" width="6" style="110" customWidth="1"/>
    <col min="262" max="262" width="5.42578125" style="110" customWidth="1"/>
    <col min="263" max="263" width="16.5703125" style="110" customWidth="1"/>
    <col min="264" max="264" width="10.140625" style="110" customWidth="1"/>
    <col min="265" max="265" width="10.42578125" style="110" customWidth="1"/>
    <col min="266" max="266" width="11.140625" style="110" customWidth="1"/>
    <col min="267" max="267" width="0.140625" style="110" customWidth="1"/>
    <col min="268" max="269" width="0" style="110" hidden="1" customWidth="1"/>
    <col min="270" max="270" width="12.42578125" style="110" customWidth="1"/>
    <col min="271" max="271" width="12.5703125" style="110" customWidth="1"/>
    <col min="272" max="272" width="12.140625" style="110" customWidth="1"/>
    <col min="273" max="273" width="11.7109375" style="110" customWidth="1"/>
    <col min="274" max="274" width="14.28515625" style="110" customWidth="1"/>
    <col min="275" max="512" width="9.28515625" style="110"/>
    <col min="513" max="513" width="4.42578125" style="110" customWidth="1"/>
    <col min="514" max="514" width="18.42578125" style="110" customWidth="1"/>
    <col min="515" max="515" width="0" style="110" hidden="1" customWidth="1"/>
    <col min="516" max="516" width="5.85546875" style="110" customWidth="1"/>
    <col min="517" max="517" width="6" style="110" customWidth="1"/>
    <col min="518" max="518" width="5.42578125" style="110" customWidth="1"/>
    <col min="519" max="519" width="16.5703125" style="110" customWidth="1"/>
    <col min="520" max="520" width="10.140625" style="110" customWidth="1"/>
    <col min="521" max="521" width="10.42578125" style="110" customWidth="1"/>
    <col min="522" max="522" width="11.140625" style="110" customWidth="1"/>
    <col min="523" max="523" width="0.140625" style="110" customWidth="1"/>
    <col min="524" max="525" width="0" style="110" hidden="1" customWidth="1"/>
    <col min="526" max="526" width="12.42578125" style="110" customWidth="1"/>
    <col min="527" max="527" width="12.5703125" style="110" customWidth="1"/>
    <col min="528" max="528" width="12.140625" style="110" customWidth="1"/>
    <col min="529" max="529" width="11.7109375" style="110" customWidth="1"/>
    <col min="530" max="530" width="14.28515625" style="110" customWidth="1"/>
    <col min="531" max="768" width="9.28515625" style="110"/>
    <col min="769" max="769" width="4.42578125" style="110" customWidth="1"/>
    <col min="770" max="770" width="18.42578125" style="110" customWidth="1"/>
    <col min="771" max="771" width="0" style="110" hidden="1" customWidth="1"/>
    <col min="772" max="772" width="5.85546875" style="110" customWidth="1"/>
    <col min="773" max="773" width="6" style="110" customWidth="1"/>
    <col min="774" max="774" width="5.42578125" style="110" customWidth="1"/>
    <col min="775" max="775" width="16.5703125" style="110" customWidth="1"/>
    <col min="776" max="776" width="10.140625" style="110" customWidth="1"/>
    <col min="777" max="777" width="10.42578125" style="110" customWidth="1"/>
    <col min="778" max="778" width="11.140625" style="110" customWidth="1"/>
    <col min="779" max="779" width="0.140625" style="110" customWidth="1"/>
    <col min="780" max="781" width="0" style="110" hidden="1" customWidth="1"/>
    <col min="782" max="782" width="12.42578125" style="110" customWidth="1"/>
    <col min="783" max="783" width="12.5703125" style="110" customWidth="1"/>
    <col min="784" max="784" width="12.140625" style="110" customWidth="1"/>
    <col min="785" max="785" width="11.7109375" style="110" customWidth="1"/>
    <col min="786" max="786" width="14.28515625" style="110" customWidth="1"/>
    <col min="787" max="1024" width="9.28515625" style="110"/>
    <col min="1025" max="1025" width="4.42578125" style="110" customWidth="1"/>
    <col min="1026" max="1026" width="18.42578125" style="110" customWidth="1"/>
    <col min="1027" max="1027" width="0" style="110" hidden="1" customWidth="1"/>
    <col min="1028" max="1028" width="5.85546875" style="110" customWidth="1"/>
    <col min="1029" max="1029" width="6" style="110" customWidth="1"/>
    <col min="1030" max="1030" width="5.42578125" style="110" customWidth="1"/>
    <col min="1031" max="1031" width="16.5703125" style="110" customWidth="1"/>
    <col min="1032" max="1032" width="10.140625" style="110" customWidth="1"/>
    <col min="1033" max="1033" width="10.42578125" style="110" customWidth="1"/>
    <col min="1034" max="1034" width="11.140625" style="110" customWidth="1"/>
    <col min="1035" max="1035" width="0.140625" style="110" customWidth="1"/>
    <col min="1036" max="1037" width="0" style="110" hidden="1" customWidth="1"/>
    <col min="1038" max="1038" width="12.42578125" style="110" customWidth="1"/>
    <col min="1039" max="1039" width="12.5703125" style="110" customWidth="1"/>
    <col min="1040" max="1040" width="12.140625" style="110" customWidth="1"/>
    <col min="1041" max="1041" width="11.7109375" style="110" customWidth="1"/>
    <col min="1042" max="1042" width="14.28515625" style="110" customWidth="1"/>
    <col min="1043" max="1280" width="9.28515625" style="110"/>
    <col min="1281" max="1281" width="4.42578125" style="110" customWidth="1"/>
    <col min="1282" max="1282" width="18.42578125" style="110" customWidth="1"/>
    <col min="1283" max="1283" width="0" style="110" hidden="1" customWidth="1"/>
    <col min="1284" max="1284" width="5.85546875" style="110" customWidth="1"/>
    <col min="1285" max="1285" width="6" style="110" customWidth="1"/>
    <col min="1286" max="1286" width="5.42578125" style="110" customWidth="1"/>
    <col min="1287" max="1287" width="16.5703125" style="110" customWidth="1"/>
    <col min="1288" max="1288" width="10.140625" style="110" customWidth="1"/>
    <col min="1289" max="1289" width="10.42578125" style="110" customWidth="1"/>
    <col min="1290" max="1290" width="11.140625" style="110" customWidth="1"/>
    <col min="1291" max="1291" width="0.140625" style="110" customWidth="1"/>
    <col min="1292" max="1293" width="0" style="110" hidden="1" customWidth="1"/>
    <col min="1294" max="1294" width="12.42578125" style="110" customWidth="1"/>
    <col min="1295" max="1295" width="12.5703125" style="110" customWidth="1"/>
    <col min="1296" max="1296" width="12.140625" style="110" customWidth="1"/>
    <col min="1297" max="1297" width="11.7109375" style="110" customWidth="1"/>
    <col min="1298" max="1298" width="14.28515625" style="110" customWidth="1"/>
    <col min="1299" max="1536" width="9.28515625" style="110"/>
    <col min="1537" max="1537" width="4.42578125" style="110" customWidth="1"/>
    <col min="1538" max="1538" width="18.42578125" style="110" customWidth="1"/>
    <col min="1539" max="1539" width="0" style="110" hidden="1" customWidth="1"/>
    <col min="1540" max="1540" width="5.85546875" style="110" customWidth="1"/>
    <col min="1541" max="1541" width="6" style="110" customWidth="1"/>
    <col min="1542" max="1542" width="5.42578125" style="110" customWidth="1"/>
    <col min="1543" max="1543" width="16.5703125" style="110" customWidth="1"/>
    <col min="1544" max="1544" width="10.140625" style="110" customWidth="1"/>
    <col min="1545" max="1545" width="10.42578125" style="110" customWidth="1"/>
    <col min="1546" max="1546" width="11.140625" style="110" customWidth="1"/>
    <col min="1547" max="1547" width="0.140625" style="110" customWidth="1"/>
    <col min="1548" max="1549" width="0" style="110" hidden="1" customWidth="1"/>
    <col min="1550" max="1550" width="12.42578125" style="110" customWidth="1"/>
    <col min="1551" max="1551" width="12.5703125" style="110" customWidth="1"/>
    <col min="1552" max="1552" width="12.140625" style="110" customWidth="1"/>
    <col min="1553" max="1553" width="11.7109375" style="110" customWidth="1"/>
    <col min="1554" max="1554" width="14.28515625" style="110" customWidth="1"/>
    <col min="1555" max="1792" width="9.28515625" style="110"/>
    <col min="1793" max="1793" width="4.42578125" style="110" customWidth="1"/>
    <col min="1794" max="1794" width="18.42578125" style="110" customWidth="1"/>
    <col min="1795" max="1795" width="0" style="110" hidden="1" customWidth="1"/>
    <col min="1796" max="1796" width="5.85546875" style="110" customWidth="1"/>
    <col min="1797" max="1797" width="6" style="110" customWidth="1"/>
    <col min="1798" max="1798" width="5.42578125" style="110" customWidth="1"/>
    <col min="1799" max="1799" width="16.5703125" style="110" customWidth="1"/>
    <col min="1800" max="1800" width="10.140625" style="110" customWidth="1"/>
    <col min="1801" max="1801" width="10.42578125" style="110" customWidth="1"/>
    <col min="1802" max="1802" width="11.140625" style="110" customWidth="1"/>
    <col min="1803" max="1803" width="0.140625" style="110" customWidth="1"/>
    <col min="1804" max="1805" width="0" style="110" hidden="1" customWidth="1"/>
    <col min="1806" max="1806" width="12.42578125" style="110" customWidth="1"/>
    <col min="1807" max="1807" width="12.5703125" style="110" customWidth="1"/>
    <col min="1808" max="1808" width="12.140625" style="110" customWidth="1"/>
    <col min="1809" max="1809" width="11.7109375" style="110" customWidth="1"/>
    <col min="1810" max="1810" width="14.28515625" style="110" customWidth="1"/>
    <col min="1811" max="2048" width="9.28515625" style="110"/>
    <col min="2049" max="2049" width="4.42578125" style="110" customWidth="1"/>
    <col min="2050" max="2050" width="18.42578125" style="110" customWidth="1"/>
    <col min="2051" max="2051" width="0" style="110" hidden="1" customWidth="1"/>
    <col min="2052" max="2052" width="5.85546875" style="110" customWidth="1"/>
    <col min="2053" max="2053" width="6" style="110" customWidth="1"/>
    <col min="2054" max="2054" width="5.42578125" style="110" customWidth="1"/>
    <col min="2055" max="2055" width="16.5703125" style="110" customWidth="1"/>
    <col min="2056" max="2056" width="10.140625" style="110" customWidth="1"/>
    <col min="2057" max="2057" width="10.42578125" style="110" customWidth="1"/>
    <col min="2058" max="2058" width="11.140625" style="110" customWidth="1"/>
    <col min="2059" max="2059" width="0.140625" style="110" customWidth="1"/>
    <col min="2060" max="2061" width="0" style="110" hidden="1" customWidth="1"/>
    <col min="2062" max="2062" width="12.42578125" style="110" customWidth="1"/>
    <col min="2063" max="2063" width="12.5703125" style="110" customWidth="1"/>
    <col min="2064" max="2064" width="12.140625" style="110" customWidth="1"/>
    <col min="2065" max="2065" width="11.7109375" style="110" customWidth="1"/>
    <col min="2066" max="2066" width="14.28515625" style="110" customWidth="1"/>
    <col min="2067" max="2304" width="9.28515625" style="110"/>
    <col min="2305" max="2305" width="4.42578125" style="110" customWidth="1"/>
    <col min="2306" max="2306" width="18.42578125" style="110" customWidth="1"/>
    <col min="2307" max="2307" width="0" style="110" hidden="1" customWidth="1"/>
    <col min="2308" max="2308" width="5.85546875" style="110" customWidth="1"/>
    <col min="2309" max="2309" width="6" style="110" customWidth="1"/>
    <col min="2310" max="2310" width="5.42578125" style="110" customWidth="1"/>
    <col min="2311" max="2311" width="16.5703125" style="110" customWidth="1"/>
    <col min="2312" max="2312" width="10.140625" style="110" customWidth="1"/>
    <col min="2313" max="2313" width="10.42578125" style="110" customWidth="1"/>
    <col min="2314" max="2314" width="11.140625" style="110" customWidth="1"/>
    <col min="2315" max="2315" width="0.140625" style="110" customWidth="1"/>
    <col min="2316" max="2317" width="0" style="110" hidden="1" customWidth="1"/>
    <col min="2318" max="2318" width="12.42578125" style="110" customWidth="1"/>
    <col min="2319" max="2319" width="12.5703125" style="110" customWidth="1"/>
    <col min="2320" max="2320" width="12.140625" style="110" customWidth="1"/>
    <col min="2321" max="2321" width="11.7109375" style="110" customWidth="1"/>
    <col min="2322" max="2322" width="14.28515625" style="110" customWidth="1"/>
    <col min="2323" max="2560" width="9.28515625" style="110"/>
    <col min="2561" max="2561" width="4.42578125" style="110" customWidth="1"/>
    <col min="2562" max="2562" width="18.42578125" style="110" customWidth="1"/>
    <col min="2563" max="2563" width="0" style="110" hidden="1" customWidth="1"/>
    <col min="2564" max="2564" width="5.85546875" style="110" customWidth="1"/>
    <col min="2565" max="2565" width="6" style="110" customWidth="1"/>
    <col min="2566" max="2566" width="5.42578125" style="110" customWidth="1"/>
    <col min="2567" max="2567" width="16.5703125" style="110" customWidth="1"/>
    <col min="2568" max="2568" width="10.140625" style="110" customWidth="1"/>
    <col min="2569" max="2569" width="10.42578125" style="110" customWidth="1"/>
    <col min="2570" max="2570" width="11.140625" style="110" customWidth="1"/>
    <col min="2571" max="2571" width="0.140625" style="110" customWidth="1"/>
    <col min="2572" max="2573" width="0" style="110" hidden="1" customWidth="1"/>
    <col min="2574" max="2574" width="12.42578125" style="110" customWidth="1"/>
    <col min="2575" max="2575" width="12.5703125" style="110" customWidth="1"/>
    <col min="2576" max="2576" width="12.140625" style="110" customWidth="1"/>
    <col min="2577" max="2577" width="11.7109375" style="110" customWidth="1"/>
    <col min="2578" max="2578" width="14.28515625" style="110" customWidth="1"/>
    <col min="2579" max="2816" width="9.28515625" style="110"/>
    <col min="2817" max="2817" width="4.42578125" style="110" customWidth="1"/>
    <col min="2818" max="2818" width="18.42578125" style="110" customWidth="1"/>
    <col min="2819" max="2819" width="0" style="110" hidden="1" customWidth="1"/>
    <col min="2820" max="2820" width="5.85546875" style="110" customWidth="1"/>
    <col min="2821" max="2821" width="6" style="110" customWidth="1"/>
    <col min="2822" max="2822" width="5.42578125" style="110" customWidth="1"/>
    <col min="2823" max="2823" width="16.5703125" style="110" customWidth="1"/>
    <col min="2824" max="2824" width="10.140625" style="110" customWidth="1"/>
    <col min="2825" max="2825" width="10.42578125" style="110" customWidth="1"/>
    <col min="2826" max="2826" width="11.140625" style="110" customWidth="1"/>
    <col min="2827" max="2827" width="0.140625" style="110" customWidth="1"/>
    <col min="2828" max="2829" width="0" style="110" hidden="1" customWidth="1"/>
    <col min="2830" max="2830" width="12.42578125" style="110" customWidth="1"/>
    <col min="2831" max="2831" width="12.5703125" style="110" customWidth="1"/>
    <col min="2832" max="2832" width="12.140625" style="110" customWidth="1"/>
    <col min="2833" max="2833" width="11.7109375" style="110" customWidth="1"/>
    <col min="2834" max="2834" width="14.28515625" style="110" customWidth="1"/>
    <col min="2835" max="3072" width="9.28515625" style="110"/>
    <col min="3073" max="3073" width="4.42578125" style="110" customWidth="1"/>
    <col min="3074" max="3074" width="18.42578125" style="110" customWidth="1"/>
    <col min="3075" max="3075" width="0" style="110" hidden="1" customWidth="1"/>
    <col min="3076" max="3076" width="5.85546875" style="110" customWidth="1"/>
    <col min="3077" max="3077" width="6" style="110" customWidth="1"/>
    <col min="3078" max="3078" width="5.42578125" style="110" customWidth="1"/>
    <col min="3079" max="3079" width="16.5703125" style="110" customWidth="1"/>
    <col min="3080" max="3080" width="10.140625" style="110" customWidth="1"/>
    <col min="3081" max="3081" width="10.42578125" style="110" customWidth="1"/>
    <col min="3082" max="3082" width="11.140625" style="110" customWidth="1"/>
    <col min="3083" max="3083" width="0.140625" style="110" customWidth="1"/>
    <col min="3084" max="3085" width="0" style="110" hidden="1" customWidth="1"/>
    <col min="3086" max="3086" width="12.42578125" style="110" customWidth="1"/>
    <col min="3087" max="3087" width="12.5703125" style="110" customWidth="1"/>
    <col min="3088" max="3088" width="12.140625" style="110" customWidth="1"/>
    <col min="3089" max="3089" width="11.7109375" style="110" customWidth="1"/>
    <col min="3090" max="3090" width="14.28515625" style="110" customWidth="1"/>
    <col min="3091" max="3328" width="9.28515625" style="110"/>
    <col min="3329" max="3329" width="4.42578125" style="110" customWidth="1"/>
    <col min="3330" max="3330" width="18.42578125" style="110" customWidth="1"/>
    <col min="3331" max="3331" width="0" style="110" hidden="1" customWidth="1"/>
    <col min="3332" max="3332" width="5.85546875" style="110" customWidth="1"/>
    <col min="3333" max="3333" width="6" style="110" customWidth="1"/>
    <col min="3334" max="3334" width="5.42578125" style="110" customWidth="1"/>
    <col min="3335" max="3335" width="16.5703125" style="110" customWidth="1"/>
    <col min="3336" max="3336" width="10.140625" style="110" customWidth="1"/>
    <col min="3337" max="3337" width="10.42578125" style="110" customWidth="1"/>
    <col min="3338" max="3338" width="11.140625" style="110" customWidth="1"/>
    <col min="3339" max="3339" width="0.140625" style="110" customWidth="1"/>
    <col min="3340" max="3341" width="0" style="110" hidden="1" customWidth="1"/>
    <col min="3342" max="3342" width="12.42578125" style="110" customWidth="1"/>
    <col min="3343" max="3343" width="12.5703125" style="110" customWidth="1"/>
    <col min="3344" max="3344" width="12.140625" style="110" customWidth="1"/>
    <col min="3345" max="3345" width="11.7109375" style="110" customWidth="1"/>
    <col min="3346" max="3346" width="14.28515625" style="110" customWidth="1"/>
    <col min="3347" max="3584" width="9.28515625" style="110"/>
    <col min="3585" max="3585" width="4.42578125" style="110" customWidth="1"/>
    <col min="3586" max="3586" width="18.42578125" style="110" customWidth="1"/>
    <col min="3587" max="3587" width="0" style="110" hidden="1" customWidth="1"/>
    <col min="3588" max="3588" width="5.85546875" style="110" customWidth="1"/>
    <col min="3589" max="3589" width="6" style="110" customWidth="1"/>
    <col min="3590" max="3590" width="5.42578125" style="110" customWidth="1"/>
    <col min="3591" max="3591" width="16.5703125" style="110" customWidth="1"/>
    <col min="3592" max="3592" width="10.140625" style="110" customWidth="1"/>
    <col min="3593" max="3593" width="10.42578125" style="110" customWidth="1"/>
    <col min="3594" max="3594" width="11.140625" style="110" customWidth="1"/>
    <col min="3595" max="3595" width="0.140625" style="110" customWidth="1"/>
    <col min="3596" max="3597" width="0" style="110" hidden="1" customWidth="1"/>
    <col min="3598" max="3598" width="12.42578125" style="110" customWidth="1"/>
    <col min="3599" max="3599" width="12.5703125" style="110" customWidth="1"/>
    <col min="3600" max="3600" width="12.140625" style="110" customWidth="1"/>
    <col min="3601" max="3601" width="11.7109375" style="110" customWidth="1"/>
    <col min="3602" max="3602" width="14.28515625" style="110" customWidth="1"/>
    <col min="3603" max="3840" width="9.28515625" style="110"/>
    <col min="3841" max="3841" width="4.42578125" style="110" customWidth="1"/>
    <col min="3842" max="3842" width="18.42578125" style="110" customWidth="1"/>
    <col min="3843" max="3843" width="0" style="110" hidden="1" customWidth="1"/>
    <col min="3844" max="3844" width="5.85546875" style="110" customWidth="1"/>
    <col min="3845" max="3845" width="6" style="110" customWidth="1"/>
    <col min="3846" max="3846" width="5.42578125" style="110" customWidth="1"/>
    <col min="3847" max="3847" width="16.5703125" style="110" customWidth="1"/>
    <col min="3848" max="3848" width="10.140625" style="110" customWidth="1"/>
    <col min="3849" max="3849" width="10.42578125" style="110" customWidth="1"/>
    <col min="3850" max="3850" width="11.140625" style="110" customWidth="1"/>
    <col min="3851" max="3851" width="0.140625" style="110" customWidth="1"/>
    <col min="3852" max="3853" width="0" style="110" hidden="1" customWidth="1"/>
    <col min="3854" max="3854" width="12.42578125" style="110" customWidth="1"/>
    <col min="3855" max="3855" width="12.5703125" style="110" customWidth="1"/>
    <col min="3856" max="3856" width="12.140625" style="110" customWidth="1"/>
    <col min="3857" max="3857" width="11.7109375" style="110" customWidth="1"/>
    <col min="3858" max="3858" width="14.28515625" style="110" customWidth="1"/>
    <col min="3859" max="4096" width="9.28515625" style="110"/>
    <col min="4097" max="4097" width="4.42578125" style="110" customWidth="1"/>
    <col min="4098" max="4098" width="18.42578125" style="110" customWidth="1"/>
    <col min="4099" max="4099" width="0" style="110" hidden="1" customWidth="1"/>
    <col min="4100" max="4100" width="5.85546875" style="110" customWidth="1"/>
    <col min="4101" max="4101" width="6" style="110" customWidth="1"/>
    <col min="4102" max="4102" width="5.42578125" style="110" customWidth="1"/>
    <col min="4103" max="4103" width="16.5703125" style="110" customWidth="1"/>
    <col min="4104" max="4104" width="10.140625" style="110" customWidth="1"/>
    <col min="4105" max="4105" width="10.42578125" style="110" customWidth="1"/>
    <col min="4106" max="4106" width="11.140625" style="110" customWidth="1"/>
    <col min="4107" max="4107" width="0.140625" style="110" customWidth="1"/>
    <col min="4108" max="4109" width="0" style="110" hidden="1" customWidth="1"/>
    <col min="4110" max="4110" width="12.42578125" style="110" customWidth="1"/>
    <col min="4111" max="4111" width="12.5703125" style="110" customWidth="1"/>
    <col min="4112" max="4112" width="12.140625" style="110" customWidth="1"/>
    <col min="4113" max="4113" width="11.7109375" style="110" customWidth="1"/>
    <col min="4114" max="4114" width="14.28515625" style="110" customWidth="1"/>
    <col min="4115" max="4352" width="9.28515625" style="110"/>
    <col min="4353" max="4353" width="4.42578125" style="110" customWidth="1"/>
    <col min="4354" max="4354" width="18.42578125" style="110" customWidth="1"/>
    <col min="4355" max="4355" width="0" style="110" hidden="1" customWidth="1"/>
    <col min="4356" max="4356" width="5.85546875" style="110" customWidth="1"/>
    <col min="4357" max="4357" width="6" style="110" customWidth="1"/>
    <col min="4358" max="4358" width="5.42578125" style="110" customWidth="1"/>
    <col min="4359" max="4359" width="16.5703125" style="110" customWidth="1"/>
    <col min="4360" max="4360" width="10.140625" style="110" customWidth="1"/>
    <col min="4361" max="4361" width="10.42578125" style="110" customWidth="1"/>
    <col min="4362" max="4362" width="11.140625" style="110" customWidth="1"/>
    <col min="4363" max="4363" width="0.140625" style="110" customWidth="1"/>
    <col min="4364" max="4365" width="0" style="110" hidden="1" customWidth="1"/>
    <col min="4366" max="4366" width="12.42578125" style="110" customWidth="1"/>
    <col min="4367" max="4367" width="12.5703125" style="110" customWidth="1"/>
    <col min="4368" max="4368" width="12.140625" style="110" customWidth="1"/>
    <col min="4369" max="4369" width="11.7109375" style="110" customWidth="1"/>
    <col min="4370" max="4370" width="14.28515625" style="110" customWidth="1"/>
    <col min="4371" max="4608" width="9.28515625" style="110"/>
    <col min="4609" max="4609" width="4.42578125" style="110" customWidth="1"/>
    <col min="4610" max="4610" width="18.42578125" style="110" customWidth="1"/>
    <col min="4611" max="4611" width="0" style="110" hidden="1" customWidth="1"/>
    <col min="4612" max="4612" width="5.85546875" style="110" customWidth="1"/>
    <col min="4613" max="4613" width="6" style="110" customWidth="1"/>
    <col min="4614" max="4614" width="5.42578125" style="110" customWidth="1"/>
    <col min="4615" max="4615" width="16.5703125" style="110" customWidth="1"/>
    <col min="4616" max="4616" width="10.140625" style="110" customWidth="1"/>
    <col min="4617" max="4617" width="10.42578125" style="110" customWidth="1"/>
    <col min="4618" max="4618" width="11.140625" style="110" customWidth="1"/>
    <col min="4619" max="4619" width="0.140625" style="110" customWidth="1"/>
    <col min="4620" max="4621" width="0" style="110" hidden="1" customWidth="1"/>
    <col min="4622" max="4622" width="12.42578125" style="110" customWidth="1"/>
    <col min="4623" max="4623" width="12.5703125" style="110" customWidth="1"/>
    <col min="4624" max="4624" width="12.140625" style="110" customWidth="1"/>
    <col min="4625" max="4625" width="11.7109375" style="110" customWidth="1"/>
    <col min="4626" max="4626" width="14.28515625" style="110" customWidth="1"/>
    <col min="4627" max="4864" width="9.28515625" style="110"/>
    <col min="4865" max="4865" width="4.42578125" style="110" customWidth="1"/>
    <col min="4866" max="4866" width="18.42578125" style="110" customWidth="1"/>
    <col min="4867" max="4867" width="0" style="110" hidden="1" customWidth="1"/>
    <col min="4868" max="4868" width="5.85546875" style="110" customWidth="1"/>
    <col min="4869" max="4869" width="6" style="110" customWidth="1"/>
    <col min="4870" max="4870" width="5.42578125" style="110" customWidth="1"/>
    <col min="4871" max="4871" width="16.5703125" style="110" customWidth="1"/>
    <col min="4872" max="4872" width="10.140625" style="110" customWidth="1"/>
    <col min="4873" max="4873" width="10.42578125" style="110" customWidth="1"/>
    <col min="4874" max="4874" width="11.140625" style="110" customWidth="1"/>
    <col min="4875" max="4875" width="0.140625" style="110" customWidth="1"/>
    <col min="4876" max="4877" width="0" style="110" hidden="1" customWidth="1"/>
    <col min="4878" max="4878" width="12.42578125" style="110" customWidth="1"/>
    <col min="4879" max="4879" width="12.5703125" style="110" customWidth="1"/>
    <col min="4880" max="4880" width="12.140625" style="110" customWidth="1"/>
    <col min="4881" max="4881" width="11.7109375" style="110" customWidth="1"/>
    <col min="4882" max="4882" width="14.28515625" style="110" customWidth="1"/>
    <col min="4883" max="5120" width="9.28515625" style="110"/>
    <col min="5121" max="5121" width="4.42578125" style="110" customWidth="1"/>
    <col min="5122" max="5122" width="18.42578125" style="110" customWidth="1"/>
    <col min="5123" max="5123" width="0" style="110" hidden="1" customWidth="1"/>
    <col min="5124" max="5124" width="5.85546875" style="110" customWidth="1"/>
    <col min="5125" max="5125" width="6" style="110" customWidth="1"/>
    <col min="5126" max="5126" width="5.42578125" style="110" customWidth="1"/>
    <col min="5127" max="5127" width="16.5703125" style="110" customWidth="1"/>
    <col min="5128" max="5128" width="10.140625" style="110" customWidth="1"/>
    <col min="5129" max="5129" width="10.42578125" style="110" customWidth="1"/>
    <col min="5130" max="5130" width="11.140625" style="110" customWidth="1"/>
    <col min="5131" max="5131" width="0.140625" style="110" customWidth="1"/>
    <col min="5132" max="5133" width="0" style="110" hidden="1" customWidth="1"/>
    <col min="5134" max="5134" width="12.42578125" style="110" customWidth="1"/>
    <col min="5135" max="5135" width="12.5703125" style="110" customWidth="1"/>
    <col min="5136" max="5136" width="12.140625" style="110" customWidth="1"/>
    <col min="5137" max="5137" width="11.7109375" style="110" customWidth="1"/>
    <col min="5138" max="5138" width="14.28515625" style="110" customWidth="1"/>
    <col min="5139" max="5376" width="9.28515625" style="110"/>
    <col min="5377" max="5377" width="4.42578125" style="110" customWidth="1"/>
    <col min="5378" max="5378" width="18.42578125" style="110" customWidth="1"/>
    <col min="5379" max="5379" width="0" style="110" hidden="1" customWidth="1"/>
    <col min="5380" max="5380" width="5.85546875" style="110" customWidth="1"/>
    <col min="5381" max="5381" width="6" style="110" customWidth="1"/>
    <col min="5382" max="5382" width="5.42578125" style="110" customWidth="1"/>
    <col min="5383" max="5383" width="16.5703125" style="110" customWidth="1"/>
    <col min="5384" max="5384" width="10.140625" style="110" customWidth="1"/>
    <col min="5385" max="5385" width="10.42578125" style="110" customWidth="1"/>
    <col min="5386" max="5386" width="11.140625" style="110" customWidth="1"/>
    <col min="5387" max="5387" width="0.140625" style="110" customWidth="1"/>
    <col min="5388" max="5389" width="0" style="110" hidden="1" customWidth="1"/>
    <col min="5390" max="5390" width="12.42578125" style="110" customWidth="1"/>
    <col min="5391" max="5391" width="12.5703125" style="110" customWidth="1"/>
    <col min="5392" max="5392" width="12.140625" style="110" customWidth="1"/>
    <col min="5393" max="5393" width="11.7109375" style="110" customWidth="1"/>
    <col min="5394" max="5394" width="14.28515625" style="110" customWidth="1"/>
    <col min="5395" max="5632" width="9.28515625" style="110"/>
    <col min="5633" max="5633" width="4.42578125" style="110" customWidth="1"/>
    <col min="5634" max="5634" width="18.42578125" style="110" customWidth="1"/>
    <col min="5635" max="5635" width="0" style="110" hidden="1" customWidth="1"/>
    <col min="5636" max="5636" width="5.85546875" style="110" customWidth="1"/>
    <col min="5637" max="5637" width="6" style="110" customWidth="1"/>
    <col min="5638" max="5638" width="5.42578125" style="110" customWidth="1"/>
    <col min="5639" max="5639" width="16.5703125" style="110" customWidth="1"/>
    <col min="5640" max="5640" width="10.140625" style="110" customWidth="1"/>
    <col min="5641" max="5641" width="10.42578125" style="110" customWidth="1"/>
    <col min="5642" max="5642" width="11.140625" style="110" customWidth="1"/>
    <col min="5643" max="5643" width="0.140625" style="110" customWidth="1"/>
    <col min="5644" max="5645" width="0" style="110" hidden="1" customWidth="1"/>
    <col min="5646" max="5646" width="12.42578125" style="110" customWidth="1"/>
    <col min="5647" max="5647" width="12.5703125" style="110" customWidth="1"/>
    <col min="5648" max="5648" width="12.140625" style="110" customWidth="1"/>
    <col min="5649" max="5649" width="11.7109375" style="110" customWidth="1"/>
    <col min="5650" max="5650" width="14.28515625" style="110" customWidth="1"/>
    <col min="5651" max="5888" width="9.28515625" style="110"/>
    <col min="5889" max="5889" width="4.42578125" style="110" customWidth="1"/>
    <col min="5890" max="5890" width="18.42578125" style="110" customWidth="1"/>
    <col min="5891" max="5891" width="0" style="110" hidden="1" customWidth="1"/>
    <col min="5892" max="5892" width="5.85546875" style="110" customWidth="1"/>
    <col min="5893" max="5893" width="6" style="110" customWidth="1"/>
    <col min="5894" max="5894" width="5.42578125" style="110" customWidth="1"/>
    <col min="5895" max="5895" width="16.5703125" style="110" customWidth="1"/>
    <col min="5896" max="5896" width="10.140625" style="110" customWidth="1"/>
    <col min="5897" max="5897" width="10.42578125" style="110" customWidth="1"/>
    <col min="5898" max="5898" width="11.140625" style="110" customWidth="1"/>
    <col min="5899" max="5899" width="0.140625" style="110" customWidth="1"/>
    <col min="5900" max="5901" width="0" style="110" hidden="1" customWidth="1"/>
    <col min="5902" max="5902" width="12.42578125" style="110" customWidth="1"/>
    <col min="5903" max="5903" width="12.5703125" style="110" customWidth="1"/>
    <col min="5904" max="5904" width="12.140625" style="110" customWidth="1"/>
    <col min="5905" max="5905" width="11.7109375" style="110" customWidth="1"/>
    <col min="5906" max="5906" width="14.28515625" style="110" customWidth="1"/>
    <col min="5907" max="6144" width="9.28515625" style="110"/>
    <col min="6145" max="6145" width="4.42578125" style="110" customWidth="1"/>
    <col min="6146" max="6146" width="18.42578125" style="110" customWidth="1"/>
    <col min="6147" max="6147" width="0" style="110" hidden="1" customWidth="1"/>
    <col min="6148" max="6148" width="5.85546875" style="110" customWidth="1"/>
    <col min="6149" max="6149" width="6" style="110" customWidth="1"/>
    <col min="6150" max="6150" width="5.42578125" style="110" customWidth="1"/>
    <col min="6151" max="6151" width="16.5703125" style="110" customWidth="1"/>
    <col min="6152" max="6152" width="10.140625" style="110" customWidth="1"/>
    <col min="6153" max="6153" width="10.42578125" style="110" customWidth="1"/>
    <col min="6154" max="6154" width="11.140625" style="110" customWidth="1"/>
    <col min="6155" max="6155" width="0.140625" style="110" customWidth="1"/>
    <col min="6156" max="6157" width="0" style="110" hidden="1" customWidth="1"/>
    <col min="6158" max="6158" width="12.42578125" style="110" customWidth="1"/>
    <col min="6159" max="6159" width="12.5703125" style="110" customWidth="1"/>
    <col min="6160" max="6160" width="12.140625" style="110" customWidth="1"/>
    <col min="6161" max="6161" width="11.7109375" style="110" customWidth="1"/>
    <col min="6162" max="6162" width="14.28515625" style="110" customWidth="1"/>
    <col min="6163" max="6400" width="9.28515625" style="110"/>
    <col min="6401" max="6401" width="4.42578125" style="110" customWidth="1"/>
    <col min="6402" max="6402" width="18.42578125" style="110" customWidth="1"/>
    <col min="6403" max="6403" width="0" style="110" hidden="1" customWidth="1"/>
    <col min="6404" max="6404" width="5.85546875" style="110" customWidth="1"/>
    <col min="6405" max="6405" width="6" style="110" customWidth="1"/>
    <col min="6406" max="6406" width="5.42578125" style="110" customWidth="1"/>
    <col min="6407" max="6407" width="16.5703125" style="110" customWidth="1"/>
    <col min="6408" max="6408" width="10.140625" style="110" customWidth="1"/>
    <col min="6409" max="6409" width="10.42578125" style="110" customWidth="1"/>
    <col min="6410" max="6410" width="11.140625" style="110" customWidth="1"/>
    <col min="6411" max="6411" width="0.140625" style="110" customWidth="1"/>
    <col min="6412" max="6413" width="0" style="110" hidden="1" customWidth="1"/>
    <col min="6414" max="6414" width="12.42578125" style="110" customWidth="1"/>
    <col min="6415" max="6415" width="12.5703125" style="110" customWidth="1"/>
    <col min="6416" max="6416" width="12.140625" style="110" customWidth="1"/>
    <col min="6417" max="6417" width="11.7109375" style="110" customWidth="1"/>
    <col min="6418" max="6418" width="14.28515625" style="110" customWidth="1"/>
    <col min="6419" max="6656" width="9.28515625" style="110"/>
    <col min="6657" max="6657" width="4.42578125" style="110" customWidth="1"/>
    <col min="6658" max="6658" width="18.42578125" style="110" customWidth="1"/>
    <col min="6659" max="6659" width="0" style="110" hidden="1" customWidth="1"/>
    <col min="6660" max="6660" width="5.85546875" style="110" customWidth="1"/>
    <col min="6661" max="6661" width="6" style="110" customWidth="1"/>
    <col min="6662" max="6662" width="5.42578125" style="110" customWidth="1"/>
    <col min="6663" max="6663" width="16.5703125" style="110" customWidth="1"/>
    <col min="6664" max="6664" width="10.140625" style="110" customWidth="1"/>
    <col min="6665" max="6665" width="10.42578125" style="110" customWidth="1"/>
    <col min="6666" max="6666" width="11.140625" style="110" customWidth="1"/>
    <col min="6667" max="6667" width="0.140625" style="110" customWidth="1"/>
    <col min="6668" max="6669" width="0" style="110" hidden="1" customWidth="1"/>
    <col min="6670" max="6670" width="12.42578125" style="110" customWidth="1"/>
    <col min="6671" max="6671" width="12.5703125" style="110" customWidth="1"/>
    <col min="6672" max="6672" width="12.140625" style="110" customWidth="1"/>
    <col min="6673" max="6673" width="11.7109375" style="110" customWidth="1"/>
    <col min="6674" max="6674" width="14.28515625" style="110" customWidth="1"/>
    <col min="6675" max="6912" width="9.28515625" style="110"/>
    <col min="6913" max="6913" width="4.42578125" style="110" customWidth="1"/>
    <col min="6914" max="6914" width="18.42578125" style="110" customWidth="1"/>
    <col min="6915" max="6915" width="0" style="110" hidden="1" customWidth="1"/>
    <col min="6916" max="6916" width="5.85546875" style="110" customWidth="1"/>
    <col min="6917" max="6917" width="6" style="110" customWidth="1"/>
    <col min="6918" max="6918" width="5.42578125" style="110" customWidth="1"/>
    <col min="6919" max="6919" width="16.5703125" style="110" customWidth="1"/>
    <col min="6920" max="6920" width="10.140625" style="110" customWidth="1"/>
    <col min="6921" max="6921" width="10.42578125" style="110" customWidth="1"/>
    <col min="6922" max="6922" width="11.140625" style="110" customWidth="1"/>
    <col min="6923" max="6923" width="0.140625" style="110" customWidth="1"/>
    <col min="6924" max="6925" width="0" style="110" hidden="1" customWidth="1"/>
    <col min="6926" max="6926" width="12.42578125" style="110" customWidth="1"/>
    <col min="6927" max="6927" width="12.5703125" style="110" customWidth="1"/>
    <col min="6928" max="6928" width="12.140625" style="110" customWidth="1"/>
    <col min="6929" max="6929" width="11.7109375" style="110" customWidth="1"/>
    <col min="6930" max="6930" width="14.28515625" style="110" customWidth="1"/>
    <col min="6931" max="7168" width="9.28515625" style="110"/>
    <col min="7169" max="7169" width="4.42578125" style="110" customWidth="1"/>
    <col min="7170" max="7170" width="18.42578125" style="110" customWidth="1"/>
    <col min="7171" max="7171" width="0" style="110" hidden="1" customWidth="1"/>
    <col min="7172" max="7172" width="5.85546875" style="110" customWidth="1"/>
    <col min="7173" max="7173" width="6" style="110" customWidth="1"/>
    <col min="7174" max="7174" width="5.42578125" style="110" customWidth="1"/>
    <col min="7175" max="7175" width="16.5703125" style="110" customWidth="1"/>
    <col min="7176" max="7176" width="10.140625" style="110" customWidth="1"/>
    <col min="7177" max="7177" width="10.42578125" style="110" customWidth="1"/>
    <col min="7178" max="7178" width="11.140625" style="110" customWidth="1"/>
    <col min="7179" max="7179" width="0.140625" style="110" customWidth="1"/>
    <col min="7180" max="7181" width="0" style="110" hidden="1" customWidth="1"/>
    <col min="7182" max="7182" width="12.42578125" style="110" customWidth="1"/>
    <col min="7183" max="7183" width="12.5703125" style="110" customWidth="1"/>
    <col min="7184" max="7184" width="12.140625" style="110" customWidth="1"/>
    <col min="7185" max="7185" width="11.7109375" style="110" customWidth="1"/>
    <col min="7186" max="7186" width="14.28515625" style="110" customWidth="1"/>
    <col min="7187" max="7424" width="9.28515625" style="110"/>
    <col min="7425" max="7425" width="4.42578125" style="110" customWidth="1"/>
    <col min="7426" max="7426" width="18.42578125" style="110" customWidth="1"/>
    <col min="7427" max="7427" width="0" style="110" hidden="1" customWidth="1"/>
    <col min="7428" max="7428" width="5.85546875" style="110" customWidth="1"/>
    <col min="7429" max="7429" width="6" style="110" customWidth="1"/>
    <col min="7430" max="7430" width="5.42578125" style="110" customWidth="1"/>
    <col min="7431" max="7431" width="16.5703125" style="110" customWidth="1"/>
    <col min="7432" max="7432" width="10.140625" style="110" customWidth="1"/>
    <col min="7433" max="7433" width="10.42578125" style="110" customWidth="1"/>
    <col min="7434" max="7434" width="11.140625" style="110" customWidth="1"/>
    <col min="7435" max="7435" width="0.140625" style="110" customWidth="1"/>
    <col min="7436" max="7437" width="0" style="110" hidden="1" customWidth="1"/>
    <col min="7438" max="7438" width="12.42578125" style="110" customWidth="1"/>
    <col min="7439" max="7439" width="12.5703125" style="110" customWidth="1"/>
    <col min="7440" max="7440" width="12.140625" style="110" customWidth="1"/>
    <col min="7441" max="7441" width="11.7109375" style="110" customWidth="1"/>
    <col min="7442" max="7442" width="14.28515625" style="110" customWidth="1"/>
    <col min="7443" max="7680" width="9.28515625" style="110"/>
    <col min="7681" max="7681" width="4.42578125" style="110" customWidth="1"/>
    <col min="7682" max="7682" width="18.42578125" style="110" customWidth="1"/>
    <col min="7683" max="7683" width="0" style="110" hidden="1" customWidth="1"/>
    <col min="7684" max="7684" width="5.85546875" style="110" customWidth="1"/>
    <col min="7685" max="7685" width="6" style="110" customWidth="1"/>
    <col min="7686" max="7686" width="5.42578125" style="110" customWidth="1"/>
    <col min="7687" max="7687" width="16.5703125" style="110" customWidth="1"/>
    <col min="7688" max="7688" width="10.140625" style="110" customWidth="1"/>
    <col min="7689" max="7689" width="10.42578125" style="110" customWidth="1"/>
    <col min="7690" max="7690" width="11.140625" style="110" customWidth="1"/>
    <col min="7691" max="7691" width="0.140625" style="110" customWidth="1"/>
    <col min="7692" max="7693" width="0" style="110" hidden="1" customWidth="1"/>
    <col min="7694" max="7694" width="12.42578125" style="110" customWidth="1"/>
    <col min="7695" max="7695" width="12.5703125" style="110" customWidth="1"/>
    <col min="7696" max="7696" width="12.140625" style="110" customWidth="1"/>
    <col min="7697" max="7697" width="11.7109375" style="110" customWidth="1"/>
    <col min="7698" max="7698" width="14.28515625" style="110" customWidth="1"/>
    <col min="7699" max="7936" width="9.28515625" style="110"/>
    <col min="7937" max="7937" width="4.42578125" style="110" customWidth="1"/>
    <col min="7938" max="7938" width="18.42578125" style="110" customWidth="1"/>
    <col min="7939" max="7939" width="0" style="110" hidden="1" customWidth="1"/>
    <col min="7940" max="7940" width="5.85546875" style="110" customWidth="1"/>
    <col min="7941" max="7941" width="6" style="110" customWidth="1"/>
    <col min="7942" max="7942" width="5.42578125" style="110" customWidth="1"/>
    <col min="7943" max="7943" width="16.5703125" style="110" customWidth="1"/>
    <col min="7944" max="7944" width="10.140625" style="110" customWidth="1"/>
    <col min="7945" max="7945" width="10.42578125" style="110" customWidth="1"/>
    <col min="7946" max="7946" width="11.140625" style="110" customWidth="1"/>
    <col min="7947" max="7947" width="0.140625" style="110" customWidth="1"/>
    <col min="7948" max="7949" width="0" style="110" hidden="1" customWidth="1"/>
    <col min="7950" max="7950" width="12.42578125" style="110" customWidth="1"/>
    <col min="7951" max="7951" width="12.5703125" style="110" customWidth="1"/>
    <col min="7952" max="7952" width="12.140625" style="110" customWidth="1"/>
    <col min="7953" max="7953" width="11.7109375" style="110" customWidth="1"/>
    <col min="7954" max="7954" width="14.28515625" style="110" customWidth="1"/>
    <col min="7955" max="8192" width="9.28515625" style="110"/>
    <col min="8193" max="8193" width="4.42578125" style="110" customWidth="1"/>
    <col min="8194" max="8194" width="18.42578125" style="110" customWidth="1"/>
    <col min="8195" max="8195" width="0" style="110" hidden="1" customWidth="1"/>
    <col min="8196" max="8196" width="5.85546875" style="110" customWidth="1"/>
    <col min="8197" max="8197" width="6" style="110" customWidth="1"/>
    <col min="8198" max="8198" width="5.42578125" style="110" customWidth="1"/>
    <col min="8199" max="8199" width="16.5703125" style="110" customWidth="1"/>
    <col min="8200" max="8200" width="10.140625" style="110" customWidth="1"/>
    <col min="8201" max="8201" width="10.42578125" style="110" customWidth="1"/>
    <col min="8202" max="8202" width="11.140625" style="110" customWidth="1"/>
    <col min="8203" max="8203" width="0.140625" style="110" customWidth="1"/>
    <col min="8204" max="8205" width="0" style="110" hidden="1" customWidth="1"/>
    <col min="8206" max="8206" width="12.42578125" style="110" customWidth="1"/>
    <col min="8207" max="8207" width="12.5703125" style="110" customWidth="1"/>
    <col min="8208" max="8208" width="12.140625" style="110" customWidth="1"/>
    <col min="8209" max="8209" width="11.7109375" style="110" customWidth="1"/>
    <col min="8210" max="8210" width="14.28515625" style="110" customWidth="1"/>
    <col min="8211" max="8448" width="9.28515625" style="110"/>
    <col min="8449" max="8449" width="4.42578125" style="110" customWidth="1"/>
    <col min="8450" max="8450" width="18.42578125" style="110" customWidth="1"/>
    <col min="8451" max="8451" width="0" style="110" hidden="1" customWidth="1"/>
    <col min="8452" max="8452" width="5.85546875" style="110" customWidth="1"/>
    <col min="8453" max="8453" width="6" style="110" customWidth="1"/>
    <col min="8454" max="8454" width="5.42578125" style="110" customWidth="1"/>
    <col min="8455" max="8455" width="16.5703125" style="110" customWidth="1"/>
    <col min="8456" max="8456" width="10.140625" style="110" customWidth="1"/>
    <col min="8457" max="8457" width="10.42578125" style="110" customWidth="1"/>
    <col min="8458" max="8458" width="11.140625" style="110" customWidth="1"/>
    <col min="8459" max="8459" width="0.140625" style="110" customWidth="1"/>
    <col min="8460" max="8461" width="0" style="110" hidden="1" customWidth="1"/>
    <col min="8462" max="8462" width="12.42578125" style="110" customWidth="1"/>
    <col min="8463" max="8463" width="12.5703125" style="110" customWidth="1"/>
    <col min="8464" max="8464" width="12.140625" style="110" customWidth="1"/>
    <col min="8465" max="8465" width="11.7109375" style="110" customWidth="1"/>
    <col min="8466" max="8466" width="14.28515625" style="110" customWidth="1"/>
    <col min="8467" max="8704" width="9.28515625" style="110"/>
    <col min="8705" max="8705" width="4.42578125" style="110" customWidth="1"/>
    <col min="8706" max="8706" width="18.42578125" style="110" customWidth="1"/>
    <col min="8707" max="8707" width="0" style="110" hidden="1" customWidth="1"/>
    <col min="8708" max="8708" width="5.85546875" style="110" customWidth="1"/>
    <col min="8709" max="8709" width="6" style="110" customWidth="1"/>
    <col min="8710" max="8710" width="5.42578125" style="110" customWidth="1"/>
    <col min="8711" max="8711" width="16.5703125" style="110" customWidth="1"/>
    <col min="8712" max="8712" width="10.140625" style="110" customWidth="1"/>
    <col min="8713" max="8713" width="10.42578125" style="110" customWidth="1"/>
    <col min="8714" max="8714" width="11.140625" style="110" customWidth="1"/>
    <col min="8715" max="8715" width="0.140625" style="110" customWidth="1"/>
    <col min="8716" max="8717" width="0" style="110" hidden="1" customWidth="1"/>
    <col min="8718" max="8718" width="12.42578125" style="110" customWidth="1"/>
    <col min="8719" max="8719" width="12.5703125" style="110" customWidth="1"/>
    <col min="8720" max="8720" width="12.140625" style="110" customWidth="1"/>
    <col min="8721" max="8721" width="11.7109375" style="110" customWidth="1"/>
    <col min="8722" max="8722" width="14.28515625" style="110" customWidth="1"/>
    <col min="8723" max="8960" width="9.28515625" style="110"/>
    <col min="8961" max="8961" width="4.42578125" style="110" customWidth="1"/>
    <col min="8962" max="8962" width="18.42578125" style="110" customWidth="1"/>
    <col min="8963" max="8963" width="0" style="110" hidden="1" customWidth="1"/>
    <col min="8964" max="8964" width="5.85546875" style="110" customWidth="1"/>
    <col min="8965" max="8965" width="6" style="110" customWidth="1"/>
    <col min="8966" max="8966" width="5.42578125" style="110" customWidth="1"/>
    <col min="8967" max="8967" width="16.5703125" style="110" customWidth="1"/>
    <col min="8968" max="8968" width="10.140625" style="110" customWidth="1"/>
    <col min="8969" max="8969" width="10.42578125" style="110" customWidth="1"/>
    <col min="8970" max="8970" width="11.140625" style="110" customWidth="1"/>
    <col min="8971" max="8971" width="0.140625" style="110" customWidth="1"/>
    <col min="8972" max="8973" width="0" style="110" hidden="1" customWidth="1"/>
    <col min="8974" max="8974" width="12.42578125" style="110" customWidth="1"/>
    <col min="8975" max="8975" width="12.5703125" style="110" customWidth="1"/>
    <col min="8976" max="8976" width="12.140625" style="110" customWidth="1"/>
    <col min="8977" max="8977" width="11.7109375" style="110" customWidth="1"/>
    <col min="8978" max="8978" width="14.28515625" style="110" customWidth="1"/>
    <col min="8979" max="9216" width="9.28515625" style="110"/>
    <col min="9217" max="9217" width="4.42578125" style="110" customWidth="1"/>
    <col min="9218" max="9218" width="18.42578125" style="110" customWidth="1"/>
    <col min="9219" max="9219" width="0" style="110" hidden="1" customWidth="1"/>
    <col min="9220" max="9220" width="5.85546875" style="110" customWidth="1"/>
    <col min="9221" max="9221" width="6" style="110" customWidth="1"/>
    <col min="9222" max="9222" width="5.42578125" style="110" customWidth="1"/>
    <col min="9223" max="9223" width="16.5703125" style="110" customWidth="1"/>
    <col min="9224" max="9224" width="10.140625" style="110" customWidth="1"/>
    <col min="9225" max="9225" width="10.42578125" style="110" customWidth="1"/>
    <col min="9226" max="9226" width="11.140625" style="110" customWidth="1"/>
    <col min="9227" max="9227" width="0.140625" style="110" customWidth="1"/>
    <col min="9228" max="9229" width="0" style="110" hidden="1" customWidth="1"/>
    <col min="9230" max="9230" width="12.42578125" style="110" customWidth="1"/>
    <col min="9231" max="9231" width="12.5703125" style="110" customWidth="1"/>
    <col min="9232" max="9232" width="12.140625" style="110" customWidth="1"/>
    <col min="9233" max="9233" width="11.7109375" style="110" customWidth="1"/>
    <col min="9234" max="9234" width="14.28515625" style="110" customWidth="1"/>
    <col min="9235" max="9472" width="9.28515625" style="110"/>
    <col min="9473" max="9473" width="4.42578125" style="110" customWidth="1"/>
    <col min="9474" max="9474" width="18.42578125" style="110" customWidth="1"/>
    <col min="9475" max="9475" width="0" style="110" hidden="1" customWidth="1"/>
    <col min="9476" max="9476" width="5.85546875" style="110" customWidth="1"/>
    <col min="9477" max="9477" width="6" style="110" customWidth="1"/>
    <col min="9478" max="9478" width="5.42578125" style="110" customWidth="1"/>
    <col min="9479" max="9479" width="16.5703125" style="110" customWidth="1"/>
    <col min="9480" max="9480" width="10.140625" style="110" customWidth="1"/>
    <col min="9481" max="9481" width="10.42578125" style="110" customWidth="1"/>
    <col min="9482" max="9482" width="11.140625" style="110" customWidth="1"/>
    <col min="9483" max="9483" width="0.140625" style="110" customWidth="1"/>
    <col min="9484" max="9485" width="0" style="110" hidden="1" customWidth="1"/>
    <col min="9486" max="9486" width="12.42578125" style="110" customWidth="1"/>
    <col min="9487" max="9487" width="12.5703125" style="110" customWidth="1"/>
    <col min="9488" max="9488" width="12.140625" style="110" customWidth="1"/>
    <col min="9489" max="9489" width="11.7109375" style="110" customWidth="1"/>
    <col min="9490" max="9490" width="14.28515625" style="110" customWidth="1"/>
    <col min="9491" max="9728" width="9.28515625" style="110"/>
    <col min="9729" max="9729" width="4.42578125" style="110" customWidth="1"/>
    <col min="9730" max="9730" width="18.42578125" style="110" customWidth="1"/>
    <col min="9731" max="9731" width="0" style="110" hidden="1" customWidth="1"/>
    <col min="9732" max="9732" width="5.85546875" style="110" customWidth="1"/>
    <col min="9733" max="9733" width="6" style="110" customWidth="1"/>
    <col min="9734" max="9734" width="5.42578125" style="110" customWidth="1"/>
    <col min="9735" max="9735" width="16.5703125" style="110" customWidth="1"/>
    <col min="9736" max="9736" width="10.140625" style="110" customWidth="1"/>
    <col min="9737" max="9737" width="10.42578125" style="110" customWidth="1"/>
    <col min="9738" max="9738" width="11.140625" style="110" customWidth="1"/>
    <col min="9739" max="9739" width="0.140625" style="110" customWidth="1"/>
    <col min="9740" max="9741" width="0" style="110" hidden="1" customWidth="1"/>
    <col min="9742" max="9742" width="12.42578125" style="110" customWidth="1"/>
    <col min="9743" max="9743" width="12.5703125" style="110" customWidth="1"/>
    <col min="9744" max="9744" width="12.140625" style="110" customWidth="1"/>
    <col min="9745" max="9745" width="11.7109375" style="110" customWidth="1"/>
    <col min="9746" max="9746" width="14.28515625" style="110" customWidth="1"/>
    <col min="9747" max="9984" width="9.28515625" style="110"/>
    <col min="9985" max="9985" width="4.42578125" style="110" customWidth="1"/>
    <col min="9986" max="9986" width="18.42578125" style="110" customWidth="1"/>
    <col min="9987" max="9987" width="0" style="110" hidden="1" customWidth="1"/>
    <col min="9988" max="9988" width="5.85546875" style="110" customWidth="1"/>
    <col min="9989" max="9989" width="6" style="110" customWidth="1"/>
    <col min="9990" max="9990" width="5.42578125" style="110" customWidth="1"/>
    <col min="9991" max="9991" width="16.5703125" style="110" customWidth="1"/>
    <col min="9992" max="9992" width="10.140625" style="110" customWidth="1"/>
    <col min="9993" max="9993" width="10.42578125" style="110" customWidth="1"/>
    <col min="9994" max="9994" width="11.140625" style="110" customWidth="1"/>
    <col min="9995" max="9995" width="0.140625" style="110" customWidth="1"/>
    <col min="9996" max="9997" width="0" style="110" hidden="1" customWidth="1"/>
    <col min="9998" max="9998" width="12.42578125" style="110" customWidth="1"/>
    <col min="9999" max="9999" width="12.5703125" style="110" customWidth="1"/>
    <col min="10000" max="10000" width="12.140625" style="110" customWidth="1"/>
    <col min="10001" max="10001" width="11.7109375" style="110" customWidth="1"/>
    <col min="10002" max="10002" width="14.28515625" style="110" customWidth="1"/>
    <col min="10003" max="10240" width="9.28515625" style="110"/>
    <col min="10241" max="10241" width="4.42578125" style="110" customWidth="1"/>
    <col min="10242" max="10242" width="18.42578125" style="110" customWidth="1"/>
    <col min="10243" max="10243" width="0" style="110" hidden="1" customWidth="1"/>
    <col min="10244" max="10244" width="5.85546875" style="110" customWidth="1"/>
    <col min="10245" max="10245" width="6" style="110" customWidth="1"/>
    <col min="10246" max="10246" width="5.42578125" style="110" customWidth="1"/>
    <col min="10247" max="10247" width="16.5703125" style="110" customWidth="1"/>
    <col min="10248" max="10248" width="10.140625" style="110" customWidth="1"/>
    <col min="10249" max="10249" width="10.42578125" style="110" customWidth="1"/>
    <col min="10250" max="10250" width="11.140625" style="110" customWidth="1"/>
    <col min="10251" max="10251" width="0.140625" style="110" customWidth="1"/>
    <col min="10252" max="10253" width="0" style="110" hidden="1" customWidth="1"/>
    <col min="10254" max="10254" width="12.42578125" style="110" customWidth="1"/>
    <col min="10255" max="10255" width="12.5703125" style="110" customWidth="1"/>
    <col min="10256" max="10256" width="12.140625" style="110" customWidth="1"/>
    <col min="10257" max="10257" width="11.7109375" style="110" customWidth="1"/>
    <col min="10258" max="10258" width="14.28515625" style="110" customWidth="1"/>
    <col min="10259" max="10496" width="9.28515625" style="110"/>
    <col min="10497" max="10497" width="4.42578125" style="110" customWidth="1"/>
    <col min="10498" max="10498" width="18.42578125" style="110" customWidth="1"/>
    <col min="10499" max="10499" width="0" style="110" hidden="1" customWidth="1"/>
    <col min="10500" max="10500" width="5.85546875" style="110" customWidth="1"/>
    <col min="10501" max="10501" width="6" style="110" customWidth="1"/>
    <col min="10502" max="10502" width="5.42578125" style="110" customWidth="1"/>
    <col min="10503" max="10503" width="16.5703125" style="110" customWidth="1"/>
    <col min="10504" max="10504" width="10.140625" style="110" customWidth="1"/>
    <col min="10505" max="10505" width="10.42578125" style="110" customWidth="1"/>
    <col min="10506" max="10506" width="11.140625" style="110" customWidth="1"/>
    <col min="10507" max="10507" width="0.140625" style="110" customWidth="1"/>
    <col min="10508" max="10509" width="0" style="110" hidden="1" customWidth="1"/>
    <col min="10510" max="10510" width="12.42578125" style="110" customWidth="1"/>
    <col min="10511" max="10511" width="12.5703125" style="110" customWidth="1"/>
    <col min="10512" max="10512" width="12.140625" style="110" customWidth="1"/>
    <col min="10513" max="10513" width="11.7109375" style="110" customWidth="1"/>
    <col min="10514" max="10514" width="14.28515625" style="110" customWidth="1"/>
    <col min="10515" max="10752" width="9.28515625" style="110"/>
    <col min="10753" max="10753" width="4.42578125" style="110" customWidth="1"/>
    <col min="10754" max="10754" width="18.42578125" style="110" customWidth="1"/>
    <col min="10755" max="10755" width="0" style="110" hidden="1" customWidth="1"/>
    <col min="10756" max="10756" width="5.85546875" style="110" customWidth="1"/>
    <col min="10757" max="10757" width="6" style="110" customWidth="1"/>
    <col min="10758" max="10758" width="5.42578125" style="110" customWidth="1"/>
    <col min="10759" max="10759" width="16.5703125" style="110" customWidth="1"/>
    <col min="10760" max="10760" width="10.140625" style="110" customWidth="1"/>
    <col min="10761" max="10761" width="10.42578125" style="110" customWidth="1"/>
    <col min="10762" max="10762" width="11.140625" style="110" customWidth="1"/>
    <col min="10763" max="10763" width="0.140625" style="110" customWidth="1"/>
    <col min="10764" max="10765" width="0" style="110" hidden="1" customWidth="1"/>
    <col min="10766" max="10766" width="12.42578125" style="110" customWidth="1"/>
    <col min="10767" max="10767" width="12.5703125" style="110" customWidth="1"/>
    <col min="10768" max="10768" width="12.140625" style="110" customWidth="1"/>
    <col min="10769" max="10769" width="11.7109375" style="110" customWidth="1"/>
    <col min="10770" max="10770" width="14.28515625" style="110" customWidth="1"/>
    <col min="10771" max="11008" width="9.28515625" style="110"/>
    <col min="11009" max="11009" width="4.42578125" style="110" customWidth="1"/>
    <col min="11010" max="11010" width="18.42578125" style="110" customWidth="1"/>
    <col min="11011" max="11011" width="0" style="110" hidden="1" customWidth="1"/>
    <col min="11012" max="11012" width="5.85546875" style="110" customWidth="1"/>
    <col min="11013" max="11013" width="6" style="110" customWidth="1"/>
    <col min="11014" max="11014" width="5.42578125" style="110" customWidth="1"/>
    <col min="11015" max="11015" width="16.5703125" style="110" customWidth="1"/>
    <col min="11016" max="11016" width="10.140625" style="110" customWidth="1"/>
    <col min="11017" max="11017" width="10.42578125" style="110" customWidth="1"/>
    <col min="11018" max="11018" width="11.140625" style="110" customWidth="1"/>
    <col min="11019" max="11019" width="0.140625" style="110" customWidth="1"/>
    <col min="11020" max="11021" width="0" style="110" hidden="1" customWidth="1"/>
    <col min="11022" max="11022" width="12.42578125" style="110" customWidth="1"/>
    <col min="11023" max="11023" width="12.5703125" style="110" customWidth="1"/>
    <col min="11024" max="11024" width="12.140625" style="110" customWidth="1"/>
    <col min="11025" max="11025" width="11.7109375" style="110" customWidth="1"/>
    <col min="11026" max="11026" width="14.28515625" style="110" customWidth="1"/>
    <col min="11027" max="11264" width="9.28515625" style="110"/>
    <col min="11265" max="11265" width="4.42578125" style="110" customWidth="1"/>
    <col min="11266" max="11266" width="18.42578125" style="110" customWidth="1"/>
    <col min="11267" max="11267" width="0" style="110" hidden="1" customWidth="1"/>
    <col min="11268" max="11268" width="5.85546875" style="110" customWidth="1"/>
    <col min="11269" max="11269" width="6" style="110" customWidth="1"/>
    <col min="11270" max="11270" width="5.42578125" style="110" customWidth="1"/>
    <col min="11271" max="11271" width="16.5703125" style="110" customWidth="1"/>
    <col min="11272" max="11272" width="10.140625" style="110" customWidth="1"/>
    <col min="11273" max="11273" width="10.42578125" style="110" customWidth="1"/>
    <col min="11274" max="11274" width="11.140625" style="110" customWidth="1"/>
    <col min="11275" max="11275" width="0.140625" style="110" customWidth="1"/>
    <col min="11276" max="11277" width="0" style="110" hidden="1" customWidth="1"/>
    <col min="11278" max="11278" width="12.42578125" style="110" customWidth="1"/>
    <col min="11279" max="11279" width="12.5703125" style="110" customWidth="1"/>
    <col min="11280" max="11280" width="12.140625" style="110" customWidth="1"/>
    <col min="11281" max="11281" width="11.7109375" style="110" customWidth="1"/>
    <col min="11282" max="11282" width="14.28515625" style="110" customWidth="1"/>
    <col min="11283" max="11520" width="9.28515625" style="110"/>
    <col min="11521" max="11521" width="4.42578125" style="110" customWidth="1"/>
    <col min="11522" max="11522" width="18.42578125" style="110" customWidth="1"/>
    <col min="11523" max="11523" width="0" style="110" hidden="1" customWidth="1"/>
    <col min="11524" max="11524" width="5.85546875" style="110" customWidth="1"/>
    <col min="11525" max="11525" width="6" style="110" customWidth="1"/>
    <col min="11526" max="11526" width="5.42578125" style="110" customWidth="1"/>
    <col min="11527" max="11527" width="16.5703125" style="110" customWidth="1"/>
    <col min="11528" max="11528" width="10.140625" style="110" customWidth="1"/>
    <col min="11529" max="11529" width="10.42578125" style="110" customWidth="1"/>
    <col min="11530" max="11530" width="11.140625" style="110" customWidth="1"/>
    <col min="11531" max="11531" width="0.140625" style="110" customWidth="1"/>
    <col min="11532" max="11533" width="0" style="110" hidden="1" customWidth="1"/>
    <col min="11534" max="11534" width="12.42578125" style="110" customWidth="1"/>
    <col min="11535" max="11535" width="12.5703125" style="110" customWidth="1"/>
    <col min="11536" max="11536" width="12.140625" style="110" customWidth="1"/>
    <col min="11537" max="11537" width="11.7109375" style="110" customWidth="1"/>
    <col min="11538" max="11538" width="14.28515625" style="110" customWidth="1"/>
    <col min="11539" max="11776" width="9.28515625" style="110"/>
    <col min="11777" max="11777" width="4.42578125" style="110" customWidth="1"/>
    <col min="11778" max="11778" width="18.42578125" style="110" customWidth="1"/>
    <col min="11779" max="11779" width="0" style="110" hidden="1" customWidth="1"/>
    <col min="11780" max="11780" width="5.85546875" style="110" customWidth="1"/>
    <col min="11781" max="11781" width="6" style="110" customWidth="1"/>
    <col min="11782" max="11782" width="5.42578125" style="110" customWidth="1"/>
    <col min="11783" max="11783" width="16.5703125" style="110" customWidth="1"/>
    <col min="11784" max="11784" width="10.140625" style="110" customWidth="1"/>
    <col min="11785" max="11785" width="10.42578125" style="110" customWidth="1"/>
    <col min="11786" max="11786" width="11.140625" style="110" customWidth="1"/>
    <col min="11787" max="11787" width="0.140625" style="110" customWidth="1"/>
    <col min="11788" max="11789" width="0" style="110" hidden="1" customWidth="1"/>
    <col min="11790" max="11790" width="12.42578125" style="110" customWidth="1"/>
    <col min="11791" max="11791" width="12.5703125" style="110" customWidth="1"/>
    <col min="11792" max="11792" width="12.140625" style="110" customWidth="1"/>
    <col min="11793" max="11793" width="11.7109375" style="110" customWidth="1"/>
    <col min="11794" max="11794" width="14.28515625" style="110" customWidth="1"/>
    <col min="11795" max="12032" width="9.28515625" style="110"/>
    <col min="12033" max="12033" width="4.42578125" style="110" customWidth="1"/>
    <col min="12034" max="12034" width="18.42578125" style="110" customWidth="1"/>
    <col min="12035" max="12035" width="0" style="110" hidden="1" customWidth="1"/>
    <col min="12036" max="12036" width="5.85546875" style="110" customWidth="1"/>
    <col min="12037" max="12037" width="6" style="110" customWidth="1"/>
    <col min="12038" max="12038" width="5.42578125" style="110" customWidth="1"/>
    <col min="12039" max="12039" width="16.5703125" style="110" customWidth="1"/>
    <col min="12040" max="12040" width="10.140625" style="110" customWidth="1"/>
    <col min="12041" max="12041" width="10.42578125" style="110" customWidth="1"/>
    <col min="12042" max="12042" width="11.140625" style="110" customWidth="1"/>
    <col min="12043" max="12043" width="0.140625" style="110" customWidth="1"/>
    <col min="12044" max="12045" width="0" style="110" hidden="1" customWidth="1"/>
    <col min="12046" max="12046" width="12.42578125" style="110" customWidth="1"/>
    <col min="12047" max="12047" width="12.5703125" style="110" customWidth="1"/>
    <col min="12048" max="12048" width="12.140625" style="110" customWidth="1"/>
    <col min="12049" max="12049" width="11.7109375" style="110" customWidth="1"/>
    <col min="12050" max="12050" width="14.28515625" style="110" customWidth="1"/>
    <col min="12051" max="12288" width="9.28515625" style="110"/>
    <col min="12289" max="12289" width="4.42578125" style="110" customWidth="1"/>
    <col min="12290" max="12290" width="18.42578125" style="110" customWidth="1"/>
    <col min="12291" max="12291" width="0" style="110" hidden="1" customWidth="1"/>
    <col min="12292" max="12292" width="5.85546875" style="110" customWidth="1"/>
    <col min="12293" max="12293" width="6" style="110" customWidth="1"/>
    <col min="12294" max="12294" width="5.42578125" style="110" customWidth="1"/>
    <col min="12295" max="12295" width="16.5703125" style="110" customWidth="1"/>
    <col min="12296" max="12296" width="10.140625" style="110" customWidth="1"/>
    <col min="12297" max="12297" width="10.42578125" style="110" customWidth="1"/>
    <col min="12298" max="12298" width="11.140625" style="110" customWidth="1"/>
    <col min="12299" max="12299" width="0.140625" style="110" customWidth="1"/>
    <col min="12300" max="12301" width="0" style="110" hidden="1" customWidth="1"/>
    <col min="12302" max="12302" width="12.42578125" style="110" customWidth="1"/>
    <col min="12303" max="12303" width="12.5703125" style="110" customWidth="1"/>
    <col min="12304" max="12304" width="12.140625" style="110" customWidth="1"/>
    <col min="12305" max="12305" width="11.7109375" style="110" customWidth="1"/>
    <col min="12306" max="12306" width="14.28515625" style="110" customWidth="1"/>
    <col min="12307" max="12544" width="9.28515625" style="110"/>
    <col min="12545" max="12545" width="4.42578125" style="110" customWidth="1"/>
    <col min="12546" max="12546" width="18.42578125" style="110" customWidth="1"/>
    <col min="12547" max="12547" width="0" style="110" hidden="1" customWidth="1"/>
    <col min="12548" max="12548" width="5.85546875" style="110" customWidth="1"/>
    <col min="12549" max="12549" width="6" style="110" customWidth="1"/>
    <col min="12550" max="12550" width="5.42578125" style="110" customWidth="1"/>
    <col min="12551" max="12551" width="16.5703125" style="110" customWidth="1"/>
    <col min="12552" max="12552" width="10.140625" style="110" customWidth="1"/>
    <col min="12553" max="12553" width="10.42578125" style="110" customWidth="1"/>
    <col min="12554" max="12554" width="11.140625" style="110" customWidth="1"/>
    <col min="12555" max="12555" width="0.140625" style="110" customWidth="1"/>
    <col min="12556" max="12557" width="0" style="110" hidden="1" customWidth="1"/>
    <col min="12558" max="12558" width="12.42578125" style="110" customWidth="1"/>
    <col min="12559" max="12559" width="12.5703125" style="110" customWidth="1"/>
    <col min="12560" max="12560" width="12.140625" style="110" customWidth="1"/>
    <col min="12561" max="12561" width="11.7109375" style="110" customWidth="1"/>
    <col min="12562" max="12562" width="14.28515625" style="110" customWidth="1"/>
    <col min="12563" max="12800" width="9.28515625" style="110"/>
    <col min="12801" max="12801" width="4.42578125" style="110" customWidth="1"/>
    <col min="12802" max="12802" width="18.42578125" style="110" customWidth="1"/>
    <col min="12803" max="12803" width="0" style="110" hidden="1" customWidth="1"/>
    <col min="12804" max="12804" width="5.85546875" style="110" customWidth="1"/>
    <col min="12805" max="12805" width="6" style="110" customWidth="1"/>
    <col min="12806" max="12806" width="5.42578125" style="110" customWidth="1"/>
    <col min="12807" max="12807" width="16.5703125" style="110" customWidth="1"/>
    <col min="12808" max="12808" width="10.140625" style="110" customWidth="1"/>
    <col min="12809" max="12809" width="10.42578125" style="110" customWidth="1"/>
    <col min="12810" max="12810" width="11.140625" style="110" customWidth="1"/>
    <col min="12811" max="12811" width="0.140625" style="110" customWidth="1"/>
    <col min="12812" max="12813" width="0" style="110" hidden="1" customWidth="1"/>
    <col min="12814" max="12814" width="12.42578125" style="110" customWidth="1"/>
    <col min="12815" max="12815" width="12.5703125" style="110" customWidth="1"/>
    <col min="12816" max="12816" width="12.140625" style="110" customWidth="1"/>
    <col min="12817" max="12817" width="11.7109375" style="110" customWidth="1"/>
    <col min="12818" max="12818" width="14.28515625" style="110" customWidth="1"/>
    <col min="12819" max="13056" width="9.28515625" style="110"/>
    <col min="13057" max="13057" width="4.42578125" style="110" customWidth="1"/>
    <col min="13058" max="13058" width="18.42578125" style="110" customWidth="1"/>
    <col min="13059" max="13059" width="0" style="110" hidden="1" customWidth="1"/>
    <col min="13060" max="13060" width="5.85546875" style="110" customWidth="1"/>
    <col min="13061" max="13061" width="6" style="110" customWidth="1"/>
    <col min="13062" max="13062" width="5.42578125" style="110" customWidth="1"/>
    <col min="13063" max="13063" width="16.5703125" style="110" customWidth="1"/>
    <col min="13064" max="13064" width="10.140625" style="110" customWidth="1"/>
    <col min="13065" max="13065" width="10.42578125" style="110" customWidth="1"/>
    <col min="13066" max="13066" width="11.140625" style="110" customWidth="1"/>
    <col min="13067" max="13067" width="0.140625" style="110" customWidth="1"/>
    <col min="13068" max="13069" width="0" style="110" hidden="1" customWidth="1"/>
    <col min="13070" max="13070" width="12.42578125" style="110" customWidth="1"/>
    <col min="13071" max="13071" width="12.5703125" style="110" customWidth="1"/>
    <col min="13072" max="13072" width="12.140625" style="110" customWidth="1"/>
    <col min="13073" max="13073" width="11.7109375" style="110" customWidth="1"/>
    <col min="13074" max="13074" width="14.28515625" style="110" customWidth="1"/>
    <col min="13075" max="13312" width="9.28515625" style="110"/>
    <col min="13313" max="13313" width="4.42578125" style="110" customWidth="1"/>
    <col min="13314" max="13314" width="18.42578125" style="110" customWidth="1"/>
    <col min="13315" max="13315" width="0" style="110" hidden="1" customWidth="1"/>
    <col min="13316" max="13316" width="5.85546875" style="110" customWidth="1"/>
    <col min="13317" max="13317" width="6" style="110" customWidth="1"/>
    <col min="13318" max="13318" width="5.42578125" style="110" customWidth="1"/>
    <col min="13319" max="13319" width="16.5703125" style="110" customWidth="1"/>
    <col min="13320" max="13320" width="10.140625" style="110" customWidth="1"/>
    <col min="13321" max="13321" width="10.42578125" style="110" customWidth="1"/>
    <col min="13322" max="13322" width="11.140625" style="110" customWidth="1"/>
    <col min="13323" max="13323" width="0.140625" style="110" customWidth="1"/>
    <col min="13324" max="13325" width="0" style="110" hidden="1" customWidth="1"/>
    <col min="13326" max="13326" width="12.42578125" style="110" customWidth="1"/>
    <col min="13327" max="13327" width="12.5703125" style="110" customWidth="1"/>
    <col min="13328" max="13328" width="12.140625" style="110" customWidth="1"/>
    <col min="13329" max="13329" width="11.7109375" style="110" customWidth="1"/>
    <col min="13330" max="13330" width="14.28515625" style="110" customWidth="1"/>
    <col min="13331" max="13568" width="9.28515625" style="110"/>
    <col min="13569" max="13569" width="4.42578125" style="110" customWidth="1"/>
    <col min="13570" max="13570" width="18.42578125" style="110" customWidth="1"/>
    <col min="13571" max="13571" width="0" style="110" hidden="1" customWidth="1"/>
    <col min="13572" max="13572" width="5.85546875" style="110" customWidth="1"/>
    <col min="13573" max="13573" width="6" style="110" customWidth="1"/>
    <col min="13574" max="13574" width="5.42578125" style="110" customWidth="1"/>
    <col min="13575" max="13575" width="16.5703125" style="110" customWidth="1"/>
    <col min="13576" max="13576" width="10.140625" style="110" customWidth="1"/>
    <col min="13577" max="13577" width="10.42578125" style="110" customWidth="1"/>
    <col min="13578" max="13578" width="11.140625" style="110" customWidth="1"/>
    <col min="13579" max="13579" width="0.140625" style="110" customWidth="1"/>
    <col min="13580" max="13581" width="0" style="110" hidden="1" customWidth="1"/>
    <col min="13582" max="13582" width="12.42578125" style="110" customWidth="1"/>
    <col min="13583" max="13583" width="12.5703125" style="110" customWidth="1"/>
    <col min="13584" max="13584" width="12.140625" style="110" customWidth="1"/>
    <col min="13585" max="13585" width="11.7109375" style="110" customWidth="1"/>
    <col min="13586" max="13586" width="14.28515625" style="110" customWidth="1"/>
    <col min="13587" max="13824" width="9.28515625" style="110"/>
    <col min="13825" max="13825" width="4.42578125" style="110" customWidth="1"/>
    <col min="13826" max="13826" width="18.42578125" style="110" customWidth="1"/>
    <col min="13827" max="13827" width="0" style="110" hidden="1" customWidth="1"/>
    <col min="13828" max="13828" width="5.85546875" style="110" customWidth="1"/>
    <col min="13829" max="13829" width="6" style="110" customWidth="1"/>
    <col min="13830" max="13830" width="5.42578125" style="110" customWidth="1"/>
    <col min="13831" max="13831" width="16.5703125" style="110" customWidth="1"/>
    <col min="13832" max="13832" width="10.140625" style="110" customWidth="1"/>
    <col min="13833" max="13833" width="10.42578125" style="110" customWidth="1"/>
    <col min="13834" max="13834" width="11.140625" style="110" customWidth="1"/>
    <col min="13835" max="13835" width="0.140625" style="110" customWidth="1"/>
    <col min="13836" max="13837" width="0" style="110" hidden="1" customWidth="1"/>
    <col min="13838" max="13838" width="12.42578125" style="110" customWidth="1"/>
    <col min="13839" max="13839" width="12.5703125" style="110" customWidth="1"/>
    <col min="13840" max="13840" width="12.140625" style="110" customWidth="1"/>
    <col min="13841" max="13841" width="11.7109375" style="110" customWidth="1"/>
    <col min="13842" max="13842" width="14.28515625" style="110" customWidth="1"/>
    <col min="13843" max="14080" width="9.28515625" style="110"/>
    <col min="14081" max="14081" width="4.42578125" style="110" customWidth="1"/>
    <col min="14082" max="14082" width="18.42578125" style="110" customWidth="1"/>
    <col min="14083" max="14083" width="0" style="110" hidden="1" customWidth="1"/>
    <col min="14084" max="14084" width="5.85546875" style="110" customWidth="1"/>
    <col min="14085" max="14085" width="6" style="110" customWidth="1"/>
    <col min="14086" max="14086" width="5.42578125" style="110" customWidth="1"/>
    <col min="14087" max="14087" width="16.5703125" style="110" customWidth="1"/>
    <col min="14088" max="14088" width="10.140625" style="110" customWidth="1"/>
    <col min="14089" max="14089" width="10.42578125" style="110" customWidth="1"/>
    <col min="14090" max="14090" width="11.140625" style="110" customWidth="1"/>
    <col min="14091" max="14091" width="0.140625" style="110" customWidth="1"/>
    <col min="14092" max="14093" width="0" style="110" hidden="1" customWidth="1"/>
    <col min="14094" max="14094" width="12.42578125" style="110" customWidth="1"/>
    <col min="14095" max="14095" width="12.5703125" style="110" customWidth="1"/>
    <col min="14096" max="14096" width="12.140625" style="110" customWidth="1"/>
    <col min="14097" max="14097" width="11.7109375" style="110" customWidth="1"/>
    <col min="14098" max="14098" width="14.28515625" style="110" customWidth="1"/>
    <col min="14099" max="14336" width="9.28515625" style="110"/>
    <col min="14337" max="14337" width="4.42578125" style="110" customWidth="1"/>
    <col min="14338" max="14338" width="18.42578125" style="110" customWidth="1"/>
    <col min="14339" max="14339" width="0" style="110" hidden="1" customWidth="1"/>
    <col min="14340" max="14340" width="5.85546875" style="110" customWidth="1"/>
    <col min="14341" max="14341" width="6" style="110" customWidth="1"/>
    <col min="14342" max="14342" width="5.42578125" style="110" customWidth="1"/>
    <col min="14343" max="14343" width="16.5703125" style="110" customWidth="1"/>
    <col min="14344" max="14344" width="10.140625" style="110" customWidth="1"/>
    <col min="14345" max="14345" width="10.42578125" style="110" customWidth="1"/>
    <col min="14346" max="14346" width="11.140625" style="110" customWidth="1"/>
    <col min="14347" max="14347" width="0.140625" style="110" customWidth="1"/>
    <col min="14348" max="14349" width="0" style="110" hidden="1" customWidth="1"/>
    <col min="14350" max="14350" width="12.42578125" style="110" customWidth="1"/>
    <col min="14351" max="14351" width="12.5703125" style="110" customWidth="1"/>
    <col min="14352" max="14352" width="12.140625" style="110" customWidth="1"/>
    <col min="14353" max="14353" width="11.7109375" style="110" customWidth="1"/>
    <col min="14354" max="14354" width="14.28515625" style="110" customWidth="1"/>
    <col min="14355" max="14592" width="9.28515625" style="110"/>
    <col min="14593" max="14593" width="4.42578125" style="110" customWidth="1"/>
    <col min="14594" max="14594" width="18.42578125" style="110" customWidth="1"/>
    <col min="14595" max="14595" width="0" style="110" hidden="1" customWidth="1"/>
    <col min="14596" max="14596" width="5.85546875" style="110" customWidth="1"/>
    <col min="14597" max="14597" width="6" style="110" customWidth="1"/>
    <col min="14598" max="14598" width="5.42578125" style="110" customWidth="1"/>
    <col min="14599" max="14599" width="16.5703125" style="110" customWidth="1"/>
    <col min="14600" max="14600" width="10.140625" style="110" customWidth="1"/>
    <col min="14601" max="14601" width="10.42578125" style="110" customWidth="1"/>
    <col min="14602" max="14602" width="11.140625" style="110" customWidth="1"/>
    <col min="14603" max="14603" width="0.140625" style="110" customWidth="1"/>
    <col min="14604" max="14605" width="0" style="110" hidden="1" customWidth="1"/>
    <col min="14606" max="14606" width="12.42578125" style="110" customWidth="1"/>
    <col min="14607" max="14607" width="12.5703125" style="110" customWidth="1"/>
    <col min="14608" max="14608" width="12.140625" style="110" customWidth="1"/>
    <col min="14609" max="14609" width="11.7109375" style="110" customWidth="1"/>
    <col min="14610" max="14610" width="14.28515625" style="110" customWidth="1"/>
    <col min="14611" max="14848" width="9.28515625" style="110"/>
    <col min="14849" max="14849" width="4.42578125" style="110" customWidth="1"/>
    <col min="14850" max="14850" width="18.42578125" style="110" customWidth="1"/>
    <col min="14851" max="14851" width="0" style="110" hidden="1" customWidth="1"/>
    <col min="14852" max="14852" width="5.85546875" style="110" customWidth="1"/>
    <col min="14853" max="14853" width="6" style="110" customWidth="1"/>
    <col min="14854" max="14854" width="5.42578125" style="110" customWidth="1"/>
    <col min="14855" max="14855" width="16.5703125" style="110" customWidth="1"/>
    <col min="14856" max="14856" width="10.140625" style="110" customWidth="1"/>
    <col min="14857" max="14857" width="10.42578125" style="110" customWidth="1"/>
    <col min="14858" max="14858" width="11.140625" style="110" customWidth="1"/>
    <col min="14859" max="14859" width="0.140625" style="110" customWidth="1"/>
    <col min="14860" max="14861" width="0" style="110" hidden="1" customWidth="1"/>
    <col min="14862" max="14862" width="12.42578125" style="110" customWidth="1"/>
    <col min="14863" max="14863" width="12.5703125" style="110" customWidth="1"/>
    <col min="14864" max="14864" width="12.140625" style="110" customWidth="1"/>
    <col min="14865" max="14865" width="11.7109375" style="110" customWidth="1"/>
    <col min="14866" max="14866" width="14.28515625" style="110" customWidth="1"/>
    <col min="14867" max="15104" width="9.28515625" style="110"/>
    <col min="15105" max="15105" width="4.42578125" style="110" customWidth="1"/>
    <col min="15106" max="15106" width="18.42578125" style="110" customWidth="1"/>
    <col min="15107" max="15107" width="0" style="110" hidden="1" customWidth="1"/>
    <col min="15108" max="15108" width="5.85546875" style="110" customWidth="1"/>
    <col min="15109" max="15109" width="6" style="110" customWidth="1"/>
    <col min="15110" max="15110" width="5.42578125" style="110" customWidth="1"/>
    <col min="15111" max="15111" width="16.5703125" style="110" customWidth="1"/>
    <col min="15112" max="15112" width="10.140625" style="110" customWidth="1"/>
    <col min="15113" max="15113" width="10.42578125" style="110" customWidth="1"/>
    <col min="15114" max="15114" width="11.140625" style="110" customWidth="1"/>
    <col min="15115" max="15115" width="0.140625" style="110" customWidth="1"/>
    <col min="15116" max="15117" width="0" style="110" hidden="1" customWidth="1"/>
    <col min="15118" max="15118" width="12.42578125" style="110" customWidth="1"/>
    <col min="15119" max="15119" width="12.5703125" style="110" customWidth="1"/>
    <col min="15120" max="15120" width="12.140625" style="110" customWidth="1"/>
    <col min="15121" max="15121" width="11.7109375" style="110" customWidth="1"/>
    <col min="15122" max="15122" width="14.28515625" style="110" customWidth="1"/>
    <col min="15123" max="15360" width="9.28515625" style="110"/>
    <col min="15361" max="15361" width="4.42578125" style="110" customWidth="1"/>
    <col min="15362" max="15362" width="18.42578125" style="110" customWidth="1"/>
    <col min="15363" max="15363" width="0" style="110" hidden="1" customWidth="1"/>
    <col min="15364" max="15364" width="5.85546875" style="110" customWidth="1"/>
    <col min="15365" max="15365" width="6" style="110" customWidth="1"/>
    <col min="15366" max="15366" width="5.42578125" style="110" customWidth="1"/>
    <col min="15367" max="15367" width="16.5703125" style="110" customWidth="1"/>
    <col min="15368" max="15368" width="10.140625" style="110" customWidth="1"/>
    <col min="15369" max="15369" width="10.42578125" style="110" customWidth="1"/>
    <col min="15370" max="15370" width="11.140625" style="110" customWidth="1"/>
    <col min="15371" max="15371" width="0.140625" style="110" customWidth="1"/>
    <col min="15372" max="15373" width="0" style="110" hidden="1" customWidth="1"/>
    <col min="15374" max="15374" width="12.42578125" style="110" customWidth="1"/>
    <col min="15375" max="15375" width="12.5703125" style="110" customWidth="1"/>
    <col min="15376" max="15376" width="12.140625" style="110" customWidth="1"/>
    <col min="15377" max="15377" width="11.7109375" style="110" customWidth="1"/>
    <col min="15378" max="15378" width="14.28515625" style="110" customWidth="1"/>
    <col min="15379" max="15616" width="9.28515625" style="110"/>
    <col min="15617" max="15617" width="4.42578125" style="110" customWidth="1"/>
    <col min="15618" max="15618" width="18.42578125" style="110" customWidth="1"/>
    <col min="15619" max="15619" width="0" style="110" hidden="1" customWidth="1"/>
    <col min="15620" max="15620" width="5.85546875" style="110" customWidth="1"/>
    <col min="15621" max="15621" width="6" style="110" customWidth="1"/>
    <col min="15622" max="15622" width="5.42578125" style="110" customWidth="1"/>
    <col min="15623" max="15623" width="16.5703125" style="110" customWidth="1"/>
    <col min="15624" max="15624" width="10.140625" style="110" customWidth="1"/>
    <col min="15625" max="15625" width="10.42578125" style="110" customWidth="1"/>
    <col min="15626" max="15626" width="11.140625" style="110" customWidth="1"/>
    <col min="15627" max="15627" width="0.140625" style="110" customWidth="1"/>
    <col min="15628" max="15629" width="0" style="110" hidden="1" customWidth="1"/>
    <col min="15630" max="15630" width="12.42578125" style="110" customWidth="1"/>
    <col min="15631" max="15631" width="12.5703125" style="110" customWidth="1"/>
    <col min="15632" max="15632" width="12.140625" style="110" customWidth="1"/>
    <col min="15633" max="15633" width="11.7109375" style="110" customWidth="1"/>
    <col min="15634" max="15634" width="14.28515625" style="110" customWidth="1"/>
    <col min="15635" max="15872" width="9.28515625" style="110"/>
    <col min="15873" max="15873" width="4.42578125" style="110" customWidth="1"/>
    <col min="15874" max="15874" width="18.42578125" style="110" customWidth="1"/>
    <col min="15875" max="15875" width="0" style="110" hidden="1" customWidth="1"/>
    <col min="15876" max="15876" width="5.85546875" style="110" customWidth="1"/>
    <col min="15877" max="15877" width="6" style="110" customWidth="1"/>
    <col min="15878" max="15878" width="5.42578125" style="110" customWidth="1"/>
    <col min="15879" max="15879" width="16.5703125" style="110" customWidth="1"/>
    <col min="15880" max="15880" width="10.140625" style="110" customWidth="1"/>
    <col min="15881" max="15881" width="10.42578125" style="110" customWidth="1"/>
    <col min="15882" max="15882" width="11.140625" style="110" customWidth="1"/>
    <col min="15883" max="15883" width="0.140625" style="110" customWidth="1"/>
    <col min="15884" max="15885" width="0" style="110" hidden="1" customWidth="1"/>
    <col min="15886" max="15886" width="12.42578125" style="110" customWidth="1"/>
    <col min="15887" max="15887" width="12.5703125" style="110" customWidth="1"/>
    <col min="15888" max="15888" width="12.140625" style="110" customWidth="1"/>
    <col min="15889" max="15889" width="11.7109375" style="110" customWidth="1"/>
    <col min="15890" max="15890" width="14.28515625" style="110" customWidth="1"/>
    <col min="15891" max="16128" width="9.28515625" style="110"/>
    <col min="16129" max="16129" width="4.42578125" style="110" customWidth="1"/>
    <col min="16130" max="16130" width="18.42578125" style="110" customWidth="1"/>
    <col min="16131" max="16131" width="0" style="110" hidden="1" customWidth="1"/>
    <col min="16132" max="16132" width="5.85546875" style="110" customWidth="1"/>
    <col min="16133" max="16133" width="6" style="110" customWidth="1"/>
    <col min="16134" max="16134" width="5.42578125" style="110" customWidth="1"/>
    <col min="16135" max="16135" width="16.5703125" style="110" customWidth="1"/>
    <col min="16136" max="16136" width="10.140625" style="110" customWidth="1"/>
    <col min="16137" max="16137" width="10.42578125" style="110" customWidth="1"/>
    <col min="16138" max="16138" width="11.140625" style="110" customWidth="1"/>
    <col min="16139" max="16139" width="0.140625" style="110" customWidth="1"/>
    <col min="16140" max="16141" width="0" style="110" hidden="1" customWidth="1"/>
    <col min="16142" max="16142" width="12.42578125" style="110" customWidth="1"/>
    <col min="16143" max="16143" width="12.5703125" style="110" customWidth="1"/>
    <col min="16144" max="16144" width="12.140625" style="110" customWidth="1"/>
    <col min="16145" max="16145" width="11.7109375" style="110" customWidth="1"/>
    <col min="16146" max="16146" width="14.28515625" style="110" customWidth="1"/>
    <col min="16147" max="16384" width="9.28515625" style="110"/>
  </cols>
  <sheetData>
    <row r="1" spans="1:18" ht="21.75" customHeight="1">
      <c r="A1" s="314" t="s">
        <v>282</v>
      </c>
      <c r="B1" s="314"/>
      <c r="C1" s="314"/>
      <c r="D1" s="314"/>
      <c r="E1" s="314"/>
      <c r="F1" s="314"/>
      <c r="G1" s="314"/>
      <c r="H1" s="314"/>
      <c r="I1" s="314"/>
      <c r="J1" s="314"/>
      <c r="K1" s="314"/>
      <c r="L1" s="314"/>
      <c r="M1" s="314"/>
      <c r="N1" s="314"/>
      <c r="O1" s="314"/>
      <c r="P1" s="314"/>
      <c r="Q1" s="314"/>
    </row>
    <row r="2" spans="1:18" ht="28.5" customHeight="1">
      <c r="A2" s="315" t="s">
        <v>181</v>
      </c>
      <c r="B2" s="316"/>
      <c r="C2" s="316"/>
      <c r="D2" s="316"/>
      <c r="E2" s="316"/>
      <c r="F2" s="316"/>
      <c r="G2" s="316"/>
      <c r="H2" s="316"/>
      <c r="I2" s="316"/>
      <c r="J2" s="316"/>
      <c r="K2" s="316"/>
      <c r="L2" s="316"/>
      <c r="M2" s="316"/>
      <c r="N2" s="316"/>
      <c r="O2" s="316"/>
      <c r="P2" s="316"/>
      <c r="Q2" s="316"/>
    </row>
    <row r="3" spans="1:18" ht="8.25" customHeight="1">
      <c r="A3" s="163"/>
      <c r="B3" s="164"/>
      <c r="C3" s="164"/>
      <c r="D3" s="164"/>
      <c r="E3" s="164"/>
      <c r="F3" s="164"/>
      <c r="G3" s="164"/>
      <c r="H3" s="164"/>
      <c r="I3" s="164"/>
      <c r="J3" s="164"/>
      <c r="K3" s="164"/>
      <c r="L3" s="164"/>
      <c r="M3" s="164"/>
      <c r="N3" s="164"/>
      <c r="O3" s="164"/>
      <c r="P3" s="164"/>
      <c r="Q3" s="164"/>
    </row>
    <row r="4" spans="1:18" s="111" customFormat="1" ht="16.5" customHeight="1">
      <c r="A4" s="317" t="s">
        <v>172</v>
      </c>
      <c r="B4" s="317"/>
      <c r="C4" s="317"/>
      <c r="D4" s="317"/>
      <c r="E4" s="317"/>
      <c r="F4" s="317"/>
      <c r="G4" s="317"/>
      <c r="H4" s="317"/>
      <c r="I4" s="317"/>
      <c r="J4" s="317"/>
      <c r="K4" s="317"/>
      <c r="L4" s="317"/>
      <c r="M4" s="317"/>
      <c r="N4" s="317"/>
      <c r="O4" s="317"/>
      <c r="P4" s="317"/>
      <c r="Q4" s="317"/>
    </row>
    <row r="5" spans="1:18" ht="2.25" customHeight="1"/>
    <row r="6" spans="1:18" s="119" customFormat="1" ht="35.1" customHeight="1">
      <c r="A6" s="324" t="s">
        <v>129</v>
      </c>
      <c r="B6" s="324" t="s">
        <v>173</v>
      </c>
      <c r="C6" s="343"/>
      <c r="D6" s="345" t="s">
        <v>174</v>
      </c>
      <c r="E6" s="346"/>
      <c r="F6" s="347"/>
      <c r="G6" s="324" t="s">
        <v>175</v>
      </c>
      <c r="H6" s="348" t="s">
        <v>176</v>
      </c>
      <c r="I6" s="349"/>
      <c r="J6" s="349"/>
      <c r="K6" s="349"/>
      <c r="L6" s="349"/>
      <c r="M6" s="350"/>
      <c r="N6" s="348" t="s">
        <v>162</v>
      </c>
      <c r="O6" s="349"/>
      <c r="P6" s="350"/>
      <c r="Q6" s="324" t="s">
        <v>78</v>
      </c>
    </row>
    <row r="7" spans="1:18" s="123" customFormat="1" ht="35.1" customHeight="1">
      <c r="A7" s="325"/>
      <c r="B7" s="325"/>
      <c r="C7" s="344"/>
      <c r="D7" s="165" t="s">
        <v>41</v>
      </c>
      <c r="E7" s="166" t="s">
        <v>177</v>
      </c>
      <c r="F7" s="167" t="s">
        <v>44</v>
      </c>
      <c r="G7" s="325"/>
      <c r="H7" s="168" t="s">
        <v>41</v>
      </c>
      <c r="I7" s="168" t="s">
        <v>177</v>
      </c>
      <c r="J7" s="326" t="s">
        <v>44</v>
      </c>
      <c r="K7" s="327"/>
      <c r="L7" s="327"/>
      <c r="M7" s="328"/>
      <c r="N7" s="168" t="s">
        <v>41</v>
      </c>
      <c r="O7" s="168" t="s">
        <v>177</v>
      </c>
      <c r="P7" s="169" t="s">
        <v>44</v>
      </c>
      <c r="Q7" s="325"/>
      <c r="R7" s="122"/>
    </row>
    <row r="8" spans="1:18" s="123" customFormat="1" ht="31.5" customHeight="1">
      <c r="A8" s="170" t="s">
        <v>130</v>
      </c>
      <c r="B8" s="329" t="s">
        <v>178</v>
      </c>
      <c r="C8" s="330"/>
      <c r="D8" s="330"/>
      <c r="E8" s="330"/>
      <c r="F8" s="330"/>
      <c r="G8" s="330"/>
      <c r="H8" s="330"/>
      <c r="I8" s="330"/>
      <c r="J8" s="330"/>
      <c r="K8" s="330"/>
      <c r="L8" s="330"/>
      <c r="M8" s="330"/>
      <c r="N8" s="330"/>
      <c r="O8" s="330"/>
      <c r="P8" s="331"/>
      <c r="Q8" s="171"/>
      <c r="R8" s="122"/>
    </row>
    <row r="9" spans="1:18" s="123" customFormat="1" ht="30" customHeight="1">
      <c r="A9" s="172">
        <v>1</v>
      </c>
      <c r="B9" s="173" t="s">
        <v>163</v>
      </c>
      <c r="C9" s="173"/>
      <c r="D9" s="332">
        <v>9</v>
      </c>
      <c r="E9" s="334">
        <v>11</v>
      </c>
      <c r="F9" s="336">
        <v>32</v>
      </c>
      <c r="G9" s="338" t="s">
        <v>179</v>
      </c>
      <c r="H9" s="174">
        <v>7000000</v>
      </c>
      <c r="I9" s="175">
        <f>5000000</f>
        <v>5000000</v>
      </c>
      <c r="J9" s="340">
        <f>3000000</f>
        <v>3000000</v>
      </c>
      <c r="K9" s="341"/>
      <c r="L9" s="341"/>
      <c r="M9" s="342"/>
      <c r="N9" s="176">
        <f>SUM(D9*H9)</f>
        <v>63000000</v>
      </c>
      <c r="O9" s="176">
        <f>SUM(E9*I9)</f>
        <v>55000000</v>
      </c>
      <c r="P9" s="176">
        <f>SUM(F9*J9)</f>
        <v>96000000</v>
      </c>
      <c r="Q9" s="177"/>
      <c r="R9" s="122"/>
    </row>
    <row r="10" spans="1:18" s="123" customFormat="1" ht="27" customHeight="1">
      <c r="A10" s="178">
        <v>2</v>
      </c>
      <c r="B10" s="179" t="s">
        <v>165</v>
      </c>
      <c r="C10" s="179"/>
      <c r="D10" s="333"/>
      <c r="E10" s="335"/>
      <c r="F10" s="337"/>
      <c r="G10" s="339"/>
      <c r="H10" s="174">
        <v>7000000</v>
      </c>
      <c r="I10" s="175">
        <f>5000000</f>
        <v>5000000</v>
      </c>
      <c r="J10" s="340">
        <f>3000000</f>
        <v>3000000</v>
      </c>
      <c r="K10" s="341"/>
      <c r="L10" s="341"/>
      <c r="M10" s="342"/>
      <c r="N10" s="180">
        <f>SUM(D9*H10)</f>
        <v>63000000</v>
      </c>
      <c r="O10" s="180">
        <f>SUM(E9*I10)</f>
        <v>55000000</v>
      </c>
      <c r="P10" s="180">
        <f>SUM(F9*J10)</f>
        <v>96000000</v>
      </c>
      <c r="Q10" s="181"/>
      <c r="R10" s="122"/>
    </row>
    <row r="11" spans="1:18" ht="30.75" customHeight="1">
      <c r="A11" s="151"/>
      <c r="B11" s="182" t="s">
        <v>180</v>
      </c>
      <c r="C11" s="182"/>
      <c r="D11" s="182"/>
      <c r="E11" s="155"/>
      <c r="F11" s="154"/>
      <c r="G11" s="155"/>
      <c r="H11" s="155"/>
      <c r="I11" s="155"/>
      <c r="J11" s="322"/>
      <c r="K11" s="323"/>
      <c r="L11" s="155"/>
      <c r="M11" s="155"/>
      <c r="N11" s="155">
        <f>SUM(N9:N10)</f>
        <v>126000000</v>
      </c>
      <c r="O11" s="155">
        <f>SUM(O9:O10)</f>
        <v>110000000</v>
      </c>
      <c r="P11" s="155">
        <f>SUM(P9:P10)</f>
        <v>192000000</v>
      </c>
      <c r="Q11" s="183">
        <f>SUM(N11:P11)</f>
        <v>428000000</v>
      </c>
      <c r="R11" s="122"/>
    </row>
    <row r="12" spans="1:18" ht="108.6" customHeight="1">
      <c r="A12" s="158"/>
      <c r="B12" s="159"/>
      <c r="C12" s="159"/>
      <c r="D12" s="159"/>
      <c r="E12" s="160"/>
      <c r="F12" s="161"/>
      <c r="G12" s="161"/>
      <c r="H12" s="161"/>
      <c r="I12" s="161"/>
      <c r="J12" s="161"/>
      <c r="K12" s="161"/>
      <c r="L12" s="161"/>
      <c r="M12" s="161"/>
      <c r="N12" s="161"/>
      <c r="O12" s="161"/>
      <c r="P12" s="161"/>
      <c r="Q12" s="162"/>
      <c r="R12" s="122"/>
    </row>
    <row r="13" spans="1:18" ht="108.6" customHeight="1">
      <c r="A13" s="158"/>
      <c r="B13" s="159"/>
      <c r="C13" s="159"/>
      <c r="D13" s="159"/>
      <c r="E13" s="160"/>
      <c r="F13" s="161"/>
      <c r="G13" s="161"/>
      <c r="H13" s="161"/>
      <c r="I13" s="161"/>
      <c r="J13" s="161"/>
      <c r="K13" s="161"/>
      <c r="L13" s="161"/>
      <c r="M13" s="161"/>
      <c r="N13" s="161"/>
      <c r="O13" s="161"/>
      <c r="P13" s="161"/>
      <c r="Q13" s="162"/>
      <c r="R13" s="122"/>
    </row>
    <row r="14" spans="1:18" ht="108.6" customHeight="1">
      <c r="A14" s="158"/>
      <c r="B14" s="159"/>
      <c r="C14" s="159"/>
      <c r="D14" s="159"/>
      <c r="E14" s="160"/>
      <c r="F14" s="161"/>
      <c r="G14" s="161"/>
      <c r="H14" s="161"/>
      <c r="I14" s="161"/>
      <c r="J14" s="161"/>
      <c r="K14" s="161"/>
      <c r="L14" s="161"/>
      <c r="M14" s="161"/>
      <c r="N14" s="161"/>
      <c r="O14" s="161"/>
      <c r="P14" s="161"/>
      <c r="Q14" s="162"/>
      <c r="R14" s="122"/>
    </row>
    <row r="15" spans="1:18" ht="108.6" customHeight="1">
      <c r="A15" s="158"/>
      <c r="B15" s="159"/>
      <c r="C15" s="159"/>
      <c r="D15" s="159"/>
      <c r="E15" s="160"/>
      <c r="F15" s="161"/>
      <c r="G15" s="161"/>
      <c r="H15" s="161"/>
      <c r="I15" s="161"/>
      <c r="J15" s="161"/>
      <c r="K15" s="161"/>
      <c r="L15" s="161"/>
      <c r="M15" s="161"/>
      <c r="N15" s="161"/>
      <c r="O15" s="161"/>
      <c r="P15" s="161"/>
      <c r="Q15" s="162"/>
      <c r="R15" s="122"/>
    </row>
  </sheetData>
  <mergeCells count="20">
    <mergeCell ref="A1:Q1"/>
    <mergeCell ref="A2:Q2"/>
    <mergeCell ref="A4:Q4"/>
    <mergeCell ref="A6:A7"/>
    <mergeCell ref="B6:B7"/>
    <mergeCell ref="C6:C7"/>
    <mergeCell ref="D6:F6"/>
    <mergeCell ref="G6:G7"/>
    <mergeCell ref="H6:M6"/>
    <mergeCell ref="N6:P6"/>
    <mergeCell ref="J11:K11"/>
    <mergeCell ref="Q6:Q7"/>
    <mergeCell ref="J7:M7"/>
    <mergeCell ref="B8:P8"/>
    <mergeCell ref="D9:D10"/>
    <mergeCell ref="E9:E10"/>
    <mergeCell ref="F9:F10"/>
    <mergeCell ref="G9:G10"/>
    <mergeCell ref="J9:M9"/>
    <mergeCell ref="J10:M10"/>
  </mergeCells>
  <pageMargins left="0.43307086614173229" right="0.15748031496062992" top="0.39370078740157483" bottom="0.39370078740157483" header="0.19685039370078741" footer="0.19685039370078741"/>
  <pageSetup paperSize="9" orientation="landscape"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53AE9-1973-441F-A6DA-BD39B60A056E}">
  <sheetPr>
    <pageSetUpPr fitToPage="1"/>
  </sheetPr>
  <dimension ref="A1:G11"/>
  <sheetViews>
    <sheetView workbookViewId="0">
      <selection activeCell="A2" sqref="A2"/>
    </sheetView>
  </sheetViews>
  <sheetFormatPr defaultRowHeight="15"/>
  <cols>
    <col min="1" max="1" width="10.5703125" customWidth="1"/>
    <col min="2" max="2" width="38" customWidth="1"/>
    <col min="3" max="3" width="20.140625" customWidth="1"/>
    <col min="4" max="6" width="14.7109375" customWidth="1"/>
    <col min="7" max="7" width="11.7109375" customWidth="1"/>
  </cols>
  <sheetData>
    <row r="1" spans="1:7" ht="18.75">
      <c r="A1" s="223" t="s">
        <v>283</v>
      </c>
      <c r="B1" s="224"/>
      <c r="C1" s="224"/>
      <c r="D1" s="224"/>
      <c r="E1" s="224"/>
      <c r="F1" s="224"/>
      <c r="G1" s="224"/>
    </row>
    <row r="2" spans="1:7" ht="37.5">
      <c r="A2" s="228" t="s">
        <v>206</v>
      </c>
      <c r="B2" s="224"/>
      <c r="C2" s="224"/>
      <c r="D2" s="224"/>
      <c r="E2" s="224"/>
      <c r="F2" s="224"/>
      <c r="G2" s="224"/>
    </row>
    <row r="4" spans="1:7" ht="40.5" customHeight="1">
      <c r="A4" s="351" t="s">
        <v>129</v>
      </c>
      <c r="B4" s="351" t="s">
        <v>197</v>
      </c>
      <c r="C4" s="351" t="s">
        <v>207</v>
      </c>
      <c r="D4" s="351"/>
      <c r="E4" s="351"/>
      <c r="F4" s="319" t="s">
        <v>78</v>
      </c>
      <c r="G4" s="319" t="s">
        <v>2</v>
      </c>
    </row>
    <row r="5" spans="1:7" ht="40.5" customHeight="1">
      <c r="A5" s="351"/>
      <c r="B5" s="351"/>
      <c r="C5" s="231" t="s">
        <v>41</v>
      </c>
      <c r="D5" s="231" t="s">
        <v>177</v>
      </c>
      <c r="E5" s="231" t="s">
        <v>44</v>
      </c>
      <c r="F5" s="319"/>
      <c r="G5" s="319"/>
    </row>
    <row r="6" spans="1:7" ht="40.5" customHeight="1">
      <c r="A6" s="44">
        <v>1</v>
      </c>
      <c r="B6" s="229" t="s">
        <v>200</v>
      </c>
      <c r="C6" s="233">
        <v>2</v>
      </c>
      <c r="D6" s="233">
        <v>3</v>
      </c>
      <c r="E6" s="233">
        <v>10</v>
      </c>
      <c r="F6" s="235">
        <f>SUM(C6:E6)</f>
        <v>15</v>
      </c>
      <c r="G6" s="222"/>
    </row>
    <row r="7" spans="1:7" ht="40.5" customHeight="1">
      <c r="A7" s="44">
        <v>2</v>
      </c>
      <c r="B7" s="229" t="s">
        <v>201</v>
      </c>
      <c r="C7" s="233">
        <v>2</v>
      </c>
      <c r="D7" s="233">
        <v>2</v>
      </c>
      <c r="E7" s="233">
        <v>6</v>
      </c>
      <c r="F7" s="235">
        <f t="shared" ref="F7:F10" si="0">SUM(C7:E7)</f>
        <v>10</v>
      </c>
      <c r="G7" s="222"/>
    </row>
    <row r="8" spans="1:7" ht="40.5" customHeight="1">
      <c r="A8" s="44">
        <v>3</v>
      </c>
      <c r="B8" s="229" t="s">
        <v>202</v>
      </c>
      <c r="C8" s="233">
        <v>1</v>
      </c>
      <c r="D8" s="233">
        <v>1</v>
      </c>
      <c r="E8" s="234">
        <v>1</v>
      </c>
      <c r="F8" s="235">
        <f t="shared" si="0"/>
        <v>3</v>
      </c>
      <c r="G8" s="222"/>
    </row>
    <row r="9" spans="1:7" ht="40.5" customHeight="1">
      <c r="A9" s="44">
        <v>4</v>
      </c>
      <c r="B9" s="229" t="s">
        <v>203</v>
      </c>
      <c r="C9" s="234">
        <v>1</v>
      </c>
      <c r="D9" s="233">
        <v>2</v>
      </c>
      <c r="E9" s="234">
        <v>5</v>
      </c>
      <c r="F9" s="235">
        <f t="shared" si="0"/>
        <v>8</v>
      </c>
      <c r="G9" s="222"/>
    </row>
    <row r="10" spans="1:7" ht="40.5" customHeight="1">
      <c r="A10" s="44">
        <v>5</v>
      </c>
      <c r="B10" s="229" t="s">
        <v>204</v>
      </c>
      <c r="C10" s="234">
        <v>3</v>
      </c>
      <c r="D10" s="233">
        <v>3</v>
      </c>
      <c r="E10" s="234">
        <v>10</v>
      </c>
      <c r="F10" s="235">
        <f t="shared" si="0"/>
        <v>16</v>
      </c>
      <c r="G10" s="222"/>
    </row>
    <row r="11" spans="1:7" ht="40.5" customHeight="1">
      <c r="A11" s="320" t="s">
        <v>78</v>
      </c>
      <c r="B11" s="320"/>
      <c r="C11" s="232">
        <f>SUM(C6:C10)</f>
        <v>9</v>
      </c>
      <c r="D11" s="232">
        <f>SUM(D6:D10)</f>
        <v>11</v>
      </c>
      <c r="E11" s="232">
        <f>SUM(E6:E10)</f>
        <v>32</v>
      </c>
      <c r="F11" s="232">
        <f>SUM(F6:F10)</f>
        <v>52</v>
      </c>
      <c r="G11" s="222"/>
    </row>
  </sheetData>
  <mergeCells count="6">
    <mergeCell ref="A4:A5"/>
    <mergeCell ref="B4:B5"/>
    <mergeCell ref="G4:G5"/>
    <mergeCell ref="A11:B11"/>
    <mergeCell ref="C4:E4"/>
    <mergeCell ref="F4:F5"/>
  </mergeCells>
  <pageMargins left="0.70866141732283472" right="0.70866141732283472" top="0.74803149606299213" bottom="0.74803149606299213" header="0.31496062992125984" footer="0.31496062992125984"/>
  <pageSetup scale="9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B0AA2-72D3-4379-965C-2E6CB63DE825}">
  <dimension ref="A1:R18"/>
  <sheetViews>
    <sheetView zoomScale="115" zoomScaleNormal="115" workbookViewId="0">
      <selection activeCell="A2" sqref="A2:Q2"/>
    </sheetView>
  </sheetViews>
  <sheetFormatPr defaultColWidth="9.28515625" defaultRowHeight="21.75" customHeight="1"/>
  <cols>
    <col min="1" max="1" width="4.42578125" style="112" customWidth="1"/>
    <col min="2" max="2" width="20.140625" style="110" customWidth="1"/>
    <col min="3" max="3" width="0.7109375" style="110" hidden="1" customWidth="1"/>
    <col min="4" max="4" width="5.85546875" style="110" customWidth="1"/>
    <col min="5" max="5" width="6.140625" style="113" customWidth="1"/>
    <col min="6" max="6" width="6.28515625" style="113" customWidth="1"/>
    <col min="7" max="7" width="16" style="110" customWidth="1"/>
    <col min="8" max="9" width="10.28515625" style="110" bestFit="1" customWidth="1"/>
    <col min="10" max="10" width="9.42578125" style="110" bestFit="1" customWidth="1"/>
    <col min="11" max="11" width="0.7109375" style="110" hidden="1" customWidth="1"/>
    <col min="12" max="12" width="1.28515625" style="110" hidden="1" customWidth="1"/>
    <col min="13" max="13" width="2.28515625" style="110" hidden="1" customWidth="1"/>
    <col min="14" max="15" width="14.140625" style="110" customWidth="1"/>
    <col min="16" max="16" width="14.42578125" style="110" customWidth="1"/>
    <col min="17" max="17" width="12.5703125" style="110" customWidth="1"/>
    <col min="18" max="18" width="14.28515625" style="110" customWidth="1"/>
    <col min="19" max="256" width="9.28515625" style="110"/>
    <col min="257" max="257" width="4.42578125" style="110" customWidth="1"/>
    <col min="258" max="258" width="20.140625" style="110" customWidth="1"/>
    <col min="259" max="259" width="0" style="110" hidden="1" customWidth="1"/>
    <col min="260" max="260" width="5.85546875" style="110" customWidth="1"/>
    <col min="261" max="261" width="6.140625" style="110" customWidth="1"/>
    <col min="262" max="262" width="6.28515625" style="110" customWidth="1"/>
    <col min="263" max="263" width="16" style="110" customWidth="1"/>
    <col min="264" max="264" width="8.42578125" style="110" customWidth="1"/>
    <col min="265" max="265" width="8.7109375" style="110" customWidth="1"/>
    <col min="266" max="266" width="9.140625" style="110" customWidth="1"/>
    <col min="267" max="269" width="0" style="110" hidden="1" customWidth="1"/>
    <col min="270" max="271" width="14.140625" style="110" customWidth="1"/>
    <col min="272" max="272" width="14.42578125" style="110" customWidth="1"/>
    <col min="273" max="273" width="12.5703125" style="110" customWidth="1"/>
    <col min="274" max="274" width="14.28515625" style="110" customWidth="1"/>
    <col min="275" max="512" width="9.28515625" style="110"/>
    <col min="513" max="513" width="4.42578125" style="110" customWidth="1"/>
    <col min="514" max="514" width="20.140625" style="110" customWidth="1"/>
    <col min="515" max="515" width="0" style="110" hidden="1" customWidth="1"/>
    <col min="516" max="516" width="5.85546875" style="110" customWidth="1"/>
    <col min="517" max="517" width="6.140625" style="110" customWidth="1"/>
    <col min="518" max="518" width="6.28515625" style="110" customWidth="1"/>
    <col min="519" max="519" width="16" style="110" customWidth="1"/>
    <col min="520" max="520" width="8.42578125" style="110" customWidth="1"/>
    <col min="521" max="521" width="8.7109375" style="110" customWidth="1"/>
    <col min="522" max="522" width="9.140625" style="110" customWidth="1"/>
    <col min="523" max="525" width="0" style="110" hidden="1" customWidth="1"/>
    <col min="526" max="527" width="14.140625" style="110" customWidth="1"/>
    <col min="528" max="528" width="14.42578125" style="110" customWidth="1"/>
    <col min="529" max="529" width="12.5703125" style="110" customWidth="1"/>
    <col min="530" max="530" width="14.28515625" style="110" customWidth="1"/>
    <col min="531" max="768" width="9.28515625" style="110"/>
    <col min="769" max="769" width="4.42578125" style="110" customWidth="1"/>
    <col min="770" max="770" width="20.140625" style="110" customWidth="1"/>
    <col min="771" max="771" width="0" style="110" hidden="1" customWidth="1"/>
    <col min="772" max="772" width="5.85546875" style="110" customWidth="1"/>
    <col min="773" max="773" width="6.140625" style="110" customWidth="1"/>
    <col min="774" max="774" width="6.28515625" style="110" customWidth="1"/>
    <col min="775" max="775" width="16" style="110" customWidth="1"/>
    <col min="776" max="776" width="8.42578125" style="110" customWidth="1"/>
    <col min="777" max="777" width="8.7109375" style="110" customWidth="1"/>
    <col min="778" max="778" width="9.140625" style="110" customWidth="1"/>
    <col min="779" max="781" width="0" style="110" hidden="1" customWidth="1"/>
    <col min="782" max="783" width="14.140625" style="110" customWidth="1"/>
    <col min="784" max="784" width="14.42578125" style="110" customWidth="1"/>
    <col min="785" max="785" width="12.5703125" style="110" customWidth="1"/>
    <col min="786" max="786" width="14.28515625" style="110" customWidth="1"/>
    <col min="787" max="1024" width="9.28515625" style="110"/>
    <col min="1025" max="1025" width="4.42578125" style="110" customWidth="1"/>
    <col min="1026" max="1026" width="20.140625" style="110" customWidth="1"/>
    <col min="1027" max="1027" width="0" style="110" hidden="1" customWidth="1"/>
    <col min="1028" max="1028" width="5.85546875" style="110" customWidth="1"/>
    <col min="1029" max="1029" width="6.140625" style="110" customWidth="1"/>
    <col min="1030" max="1030" width="6.28515625" style="110" customWidth="1"/>
    <col min="1031" max="1031" width="16" style="110" customWidth="1"/>
    <col min="1032" max="1032" width="8.42578125" style="110" customWidth="1"/>
    <col min="1033" max="1033" width="8.7109375" style="110" customWidth="1"/>
    <col min="1034" max="1034" width="9.140625" style="110" customWidth="1"/>
    <col min="1035" max="1037" width="0" style="110" hidden="1" customWidth="1"/>
    <col min="1038" max="1039" width="14.140625" style="110" customWidth="1"/>
    <col min="1040" max="1040" width="14.42578125" style="110" customWidth="1"/>
    <col min="1041" max="1041" width="12.5703125" style="110" customWidth="1"/>
    <col min="1042" max="1042" width="14.28515625" style="110" customWidth="1"/>
    <col min="1043" max="1280" width="9.28515625" style="110"/>
    <col min="1281" max="1281" width="4.42578125" style="110" customWidth="1"/>
    <col min="1282" max="1282" width="20.140625" style="110" customWidth="1"/>
    <col min="1283" max="1283" width="0" style="110" hidden="1" customWidth="1"/>
    <col min="1284" max="1284" width="5.85546875" style="110" customWidth="1"/>
    <col min="1285" max="1285" width="6.140625" style="110" customWidth="1"/>
    <col min="1286" max="1286" width="6.28515625" style="110" customWidth="1"/>
    <col min="1287" max="1287" width="16" style="110" customWidth="1"/>
    <col min="1288" max="1288" width="8.42578125" style="110" customWidth="1"/>
    <col min="1289" max="1289" width="8.7109375" style="110" customWidth="1"/>
    <col min="1290" max="1290" width="9.140625" style="110" customWidth="1"/>
    <col min="1291" max="1293" width="0" style="110" hidden="1" customWidth="1"/>
    <col min="1294" max="1295" width="14.140625" style="110" customWidth="1"/>
    <col min="1296" max="1296" width="14.42578125" style="110" customWidth="1"/>
    <col min="1297" max="1297" width="12.5703125" style="110" customWidth="1"/>
    <col min="1298" max="1298" width="14.28515625" style="110" customWidth="1"/>
    <col min="1299" max="1536" width="9.28515625" style="110"/>
    <col min="1537" max="1537" width="4.42578125" style="110" customWidth="1"/>
    <col min="1538" max="1538" width="20.140625" style="110" customWidth="1"/>
    <col min="1539" max="1539" width="0" style="110" hidden="1" customWidth="1"/>
    <col min="1540" max="1540" width="5.85546875" style="110" customWidth="1"/>
    <col min="1541" max="1541" width="6.140625" style="110" customWidth="1"/>
    <col min="1542" max="1542" width="6.28515625" style="110" customWidth="1"/>
    <col min="1543" max="1543" width="16" style="110" customWidth="1"/>
    <col min="1544" max="1544" width="8.42578125" style="110" customWidth="1"/>
    <col min="1545" max="1545" width="8.7109375" style="110" customWidth="1"/>
    <col min="1546" max="1546" width="9.140625" style="110" customWidth="1"/>
    <col min="1547" max="1549" width="0" style="110" hidden="1" customWidth="1"/>
    <col min="1550" max="1551" width="14.140625" style="110" customWidth="1"/>
    <col min="1552" max="1552" width="14.42578125" style="110" customWidth="1"/>
    <col min="1553" max="1553" width="12.5703125" style="110" customWidth="1"/>
    <col min="1554" max="1554" width="14.28515625" style="110" customWidth="1"/>
    <col min="1555" max="1792" width="9.28515625" style="110"/>
    <col min="1793" max="1793" width="4.42578125" style="110" customWidth="1"/>
    <col min="1794" max="1794" width="20.140625" style="110" customWidth="1"/>
    <col min="1795" max="1795" width="0" style="110" hidden="1" customWidth="1"/>
    <col min="1796" max="1796" width="5.85546875" style="110" customWidth="1"/>
    <col min="1797" max="1797" width="6.140625" style="110" customWidth="1"/>
    <col min="1798" max="1798" width="6.28515625" style="110" customWidth="1"/>
    <col min="1799" max="1799" width="16" style="110" customWidth="1"/>
    <col min="1800" max="1800" width="8.42578125" style="110" customWidth="1"/>
    <col min="1801" max="1801" width="8.7109375" style="110" customWidth="1"/>
    <col min="1802" max="1802" width="9.140625" style="110" customWidth="1"/>
    <col min="1803" max="1805" width="0" style="110" hidden="1" customWidth="1"/>
    <col min="1806" max="1807" width="14.140625" style="110" customWidth="1"/>
    <col min="1808" max="1808" width="14.42578125" style="110" customWidth="1"/>
    <col min="1809" max="1809" width="12.5703125" style="110" customWidth="1"/>
    <col min="1810" max="1810" width="14.28515625" style="110" customWidth="1"/>
    <col min="1811" max="2048" width="9.28515625" style="110"/>
    <col min="2049" max="2049" width="4.42578125" style="110" customWidth="1"/>
    <col min="2050" max="2050" width="20.140625" style="110" customWidth="1"/>
    <col min="2051" max="2051" width="0" style="110" hidden="1" customWidth="1"/>
    <col min="2052" max="2052" width="5.85546875" style="110" customWidth="1"/>
    <col min="2053" max="2053" width="6.140625" style="110" customWidth="1"/>
    <col min="2054" max="2054" width="6.28515625" style="110" customWidth="1"/>
    <col min="2055" max="2055" width="16" style="110" customWidth="1"/>
    <col min="2056" max="2056" width="8.42578125" style="110" customWidth="1"/>
    <col min="2057" max="2057" width="8.7109375" style="110" customWidth="1"/>
    <col min="2058" max="2058" width="9.140625" style="110" customWidth="1"/>
    <col min="2059" max="2061" width="0" style="110" hidden="1" customWidth="1"/>
    <col min="2062" max="2063" width="14.140625" style="110" customWidth="1"/>
    <col min="2064" max="2064" width="14.42578125" style="110" customWidth="1"/>
    <col min="2065" max="2065" width="12.5703125" style="110" customWidth="1"/>
    <col min="2066" max="2066" width="14.28515625" style="110" customWidth="1"/>
    <col min="2067" max="2304" width="9.28515625" style="110"/>
    <col min="2305" max="2305" width="4.42578125" style="110" customWidth="1"/>
    <col min="2306" max="2306" width="20.140625" style="110" customWidth="1"/>
    <col min="2307" max="2307" width="0" style="110" hidden="1" customWidth="1"/>
    <col min="2308" max="2308" width="5.85546875" style="110" customWidth="1"/>
    <col min="2309" max="2309" width="6.140625" style="110" customWidth="1"/>
    <col min="2310" max="2310" width="6.28515625" style="110" customWidth="1"/>
    <col min="2311" max="2311" width="16" style="110" customWidth="1"/>
    <col min="2312" max="2312" width="8.42578125" style="110" customWidth="1"/>
    <col min="2313" max="2313" width="8.7109375" style="110" customWidth="1"/>
    <col min="2314" max="2314" width="9.140625" style="110" customWidth="1"/>
    <col min="2315" max="2317" width="0" style="110" hidden="1" customWidth="1"/>
    <col min="2318" max="2319" width="14.140625" style="110" customWidth="1"/>
    <col min="2320" max="2320" width="14.42578125" style="110" customWidth="1"/>
    <col min="2321" max="2321" width="12.5703125" style="110" customWidth="1"/>
    <col min="2322" max="2322" width="14.28515625" style="110" customWidth="1"/>
    <col min="2323" max="2560" width="9.28515625" style="110"/>
    <col min="2561" max="2561" width="4.42578125" style="110" customWidth="1"/>
    <col min="2562" max="2562" width="20.140625" style="110" customWidth="1"/>
    <col min="2563" max="2563" width="0" style="110" hidden="1" customWidth="1"/>
    <col min="2564" max="2564" width="5.85546875" style="110" customWidth="1"/>
    <col min="2565" max="2565" width="6.140625" style="110" customWidth="1"/>
    <col min="2566" max="2566" width="6.28515625" style="110" customWidth="1"/>
    <col min="2567" max="2567" width="16" style="110" customWidth="1"/>
    <col min="2568" max="2568" width="8.42578125" style="110" customWidth="1"/>
    <col min="2569" max="2569" width="8.7109375" style="110" customWidth="1"/>
    <col min="2570" max="2570" width="9.140625" style="110" customWidth="1"/>
    <col min="2571" max="2573" width="0" style="110" hidden="1" customWidth="1"/>
    <col min="2574" max="2575" width="14.140625" style="110" customWidth="1"/>
    <col min="2576" max="2576" width="14.42578125" style="110" customWidth="1"/>
    <col min="2577" max="2577" width="12.5703125" style="110" customWidth="1"/>
    <col min="2578" max="2578" width="14.28515625" style="110" customWidth="1"/>
    <col min="2579" max="2816" width="9.28515625" style="110"/>
    <col min="2817" max="2817" width="4.42578125" style="110" customWidth="1"/>
    <col min="2818" max="2818" width="20.140625" style="110" customWidth="1"/>
    <col min="2819" max="2819" width="0" style="110" hidden="1" customWidth="1"/>
    <col min="2820" max="2820" width="5.85546875" style="110" customWidth="1"/>
    <col min="2821" max="2821" width="6.140625" style="110" customWidth="1"/>
    <col min="2822" max="2822" width="6.28515625" style="110" customWidth="1"/>
    <col min="2823" max="2823" width="16" style="110" customWidth="1"/>
    <col min="2824" max="2824" width="8.42578125" style="110" customWidth="1"/>
    <col min="2825" max="2825" width="8.7109375" style="110" customWidth="1"/>
    <col min="2826" max="2826" width="9.140625" style="110" customWidth="1"/>
    <col min="2827" max="2829" width="0" style="110" hidden="1" customWidth="1"/>
    <col min="2830" max="2831" width="14.140625" style="110" customWidth="1"/>
    <col min="2832" max="2832" width="14.42578125" style="110" customWidth="1"/>
    <col min="2833" max="2833" width="12.5703125" style="110" customWidth="1"/>
    <col min="2834" max="2834" width="14.28515625" style="110" customWidth="1"/>
    <col min="2835" max="3072" width="9.28515625" style="110"/>
    <col min="3073" max="3073" width="4.42578125" style="110" customWidth="1"/>
    <col min="3074" max="3074" width="20.140625" style="110" customWidth="1"/>
    <col min="3075" max="3075" width="0" style="110" hidden="1" customWidth="1"/>
    <col min="3076" max="3076" width="5.85546875" style="110" customWidth="1"/>
    <col min="3077" max="3077" width="6.140625" style="110" customWidth="1"/>
    <col min="3078" max="3078" width="6.28515625" style="110" customWidth="1"/>
    <col min="3079" max="3079" width="16" style="110" customWidth="1"/>
    <col min="3080" max="3080" width="8.42578125" style="110" customWidth="1"/>
    <col min="3081" max="3081" width="8.7109375" style="110" customWidth="1"/>
    <col min="3082" max="3082" width="9.140625" style="110" customWidth="1"/>
    <col min="3083" max="3085" width="0" style="110" hidden="1" customWidth="1"/>
    <col min="3086" max="3087" width="14.140625" style="110" customWidth="1"/>
    <col min="3088" max="3088" width="14.42578125" style="110" customWidth="1"/>
    <col min="3089" max="3089" width="12.5703125" style="110" customWidth="1"/>
    <col min="3090" max="3090" width="14.28515625" style="110" customWidth="1"/>
    <col min="3091" max="3328" width="9.28515625" style="110"/>
    <col min="3329" max="3329" width="4.42578125" style="110" customWidth="1"/>
    <col min="3330" max="3330" width="20.140625" style="110" customWidth="1"/>
    <col min="3331" max="3331" width="0" style="110" hidden="1" customWidth="1"/>
    <col min="3332" max="3332" width="5.85546875" style="110" customWidth="1"/>
    <col min="3333" max="3333" width="6.140625" style="110" customWidth="1"/>
    <col min="3334" max="3334" width="6.28515625" style="110" customWidth="1"/>
    <col min="3335" max="3335" width="16" style="110" customWidth="1"/>
    <col min="3336" max="3336" width="8.42578125" style="110" customWidth="1"/>
    <col min="3337" max="3337" width="8.7109375" style="110" customWidth="1"/>
    <col min="3338" max="3338" width="9.140625" style="110" customWidth="1"/>
    <col min="3339" max="3341" width="0" style="110" hidden="1" customWidth="1"/>
    <col min="3342" max="3343" width="14.140625" style="110" customWidth="1"/>
    <col min="3344" max="3344" width="14.42578125" style="110" customWidth="1"/>
    <col min="3345" max="3345" width="12.5703125" style="110" customWidth="1"/>
    <col min="3346" max="3346" width="14.28515625" style="110" customWidth="1"/>
    <col min="3347" max="3584" width="9.28515625" style="110"/>
    <col min="3585" max="3585" width="4.42578125" style="110" customWidth="1"/>
    <col min="3586" max="3586" width="20.140625" style="110" customWidth="1"/>
    <col min="3587" max="3587" width="0" style="110" hidden="1" customWidth="1"/>
    <col min="3588" max="3588" width="5.85546875" style="110" customWidth="1"/>
    <col min="3589" max="3589" width="6.140625" style="110" customWidth="1"/>
    <col min="3590" max="3590" width="6.28515625" style="110" customWidth="1"/>
    <col min="3591" max="3591" width="16" style="110" customWidth="1"/>
    <col min="3592" max="3592" width="8.42578125" style="110" customWidth="1"/>
    <col min="3593" max="3593" width="8.7109375" style="110" customWidth="1"/>
    <col min="3594" max="3594" width="9.140625" style="110" customWidth="1"/>
    <col min="3595" max="3597" width="0" style="110" hidden="1" customWidth="1"/>
    <col min="3598" max="3599" width="14.140625" style="110" customWidth="1"/>
    <col min="3600" max="3600" width="14.42578125" style="110" customWidth="1"/>
    <col min="3601" max="3601" width="12.5703125" style="110" customWidth="1"/>
    <col min="3602" max="3602" width="14.28515625" style="110" customWidth="1"/>
    <col min="3603" max="3840" width="9.28515625" style="110"/>
    <col min="3841" max="3841" width="4.42578125" style="110" customWidth="1"/>
    <col min="3842" max="3842" width="20.140625" style="110" customWidth="1"/>
    <col min="3843" max="3843" width="0" style="110" hidden="1" customWidth="1"/>
    <col min="3844" max="3844" width="5.85546875" style="110" customWidth="1"/>
    <col min="3845" max="3845" width="6.140625" style="110" customWidth="1"/>
    <col min="3846" max="3846" width="6.28515625" style="110" customWidth="1"/>
    <col min="3847" max="3847" width="16" style="110" customWidth="1"/>
    <col min="3848" max="3848" width="8.42578125" style="110" customWidth="1"/>
    <col min="3849" max="3849" width="8.7109375" style="110" customWidth="1"/>
    <col min="3850" max="3850" width="9.140625" style="110" customWidth="1"/>
    <col min="3851" max="3853" width="0" style="110" hidden="1" customWidth="1"/>
    <col min="3854" max="3855" width="14.140625" style="110" customWidth="1"/>
    <col min="3856" max="3856" width="14.42578125" style="110" customWidth="1"/>
    <col min="3857" max="3857" width="12.5703125" style="110" customWidth="1"/>
    <col min="3858" max="3858" width="14.28515625" style="110" customWidth="1"/>
    <col min="3859" max="4096" width="9.28515625" style="110"/>
    <col min="4097" max="4097" width="4.42578125" style="110" customWidth="1"/>
    <col min="4098" max="4098" width="20.140625" style="110" customWidth="1"/>
    <col min="4099" max="4099" width="0" style="110" hidden="1" customWidth="1"/>
    <col min="4100" max="4100" width="5.85546875" style="110" customWidth="1"/>
    <col min="4101" max="4101" width="6.140625" style="110" customWidth="1"/>
    <col min="4102" max="4102" width="6.28515625" style="110" customWidth="1"/>
    <col min="4103" max="4103" width="16" style="110" customWidth="1"/>
    <col min="4104" max="4104" width="8.42578125" style="110" customWidth="1"/>
    <col min="4105" max="4105" width="8.7109375" style="110" customWidth="1"/>
    <col min="4106" max="4106" width="9.140625" style="110" customWidth="1"/>
    <col min="4107" max="4109" width="0" style="110" hidden="1" customWidth="1"/>
    <col min="4110" max="4111" width="14.140625" style="110" customWidth="1"/>
    <col min="4112" max="4112" width="14.42578125" style="110" customWidth="1"/>
    <col min="4113" max="4113" width="12.5703125" style="110" customWidth="1"/>
    <col min="4114" max="4114" width="14.28515625" style="110" customWidth="1"/>
    <col min="4115" max="4352" width="9.28515625" style="110"/>
    <col min="4353" max="4353" width="4.42578125" style="110" customWidth="1"/>
    <col min="4354" max="4354" width="20.140625" style="110" customWidth="1"/>
    <col min="4355" max="4355" width="0" style="110" hidden="1" customWidth="1"/>
    <col min="4356" max="4356" width="5.85546875" style="110" customWidth="1"/>
    <col min="4357" max="4357" width="6.140625" style="110" customWidth="1"/>
    <col min="4358" max="4358" width="6.28515625" style="110" customWidth="1"/>
    <col min="4359" max="4359" width="16" style="110" customWidth="1"/>
    <col min="4360" max="4360" width="8.42578125" style="110" customWidth="1"/>
    <col min="4361" max="4361" width="8.7109375" style="110" customWidth="1"/>
    <col min="4362" max="4362" width="9.140625" style="110" customWidth="1"/>
    <col min="4363" max="4365" width="0" style="110" hidden="1" customWidth="1"/>
    <col min="4366" max="4367" width="14.140625" style="110" customWidth="1"/>
    <col min="4368" max="4368" width="14.42578125" style="110" customWidth="1"/>
    <col min="4369" max="4369" width="12.5703125" style="110" customWidth="1"/>
    <col min="4370" max="4370" width="14.28515625" style="110" customWidth="1"/>
    <col min="4371" max="4608" width="9.28515625" style="110"/>
    <col min="4609" max="4609" width="4.42578125" style="110" customWidth="1"/>
    <col min="4610" max="4610" width="20.140625" style="110" customWidth="1"/>
    <col min="4611" max="4611" width="0" style="110" hidden="1" customWidth="1"/>
    <col min="4612" max="4612" width="5.85546875" style="110" customWidth="1"/>
    <col min="4613" max="4613" width="6.140625" style="110" customWidth="1"/>
    <col min="4614" max="4614" width="6.28515625" style="110" customWidth="1"/>
    <col min="4615" max="4615" width="16" style="110" customWidth="1"/>
    <col min="4616" max="4616" width="8.42578125" style="110" customWidth="1"/>
    <col min="4617" max="4617" width="8.7109375" style="110" customWidth="1"/>
    <col min="4618" max="4618" width="9.140625" style="110" customWidth="1"/>
    <col min="4619" max="4621" width="0" style="110" hidden="1" customWidth="1"/>
    <col min="4622" max="4623" width="14.140625" style="110" customWidth="1"/>
    <col min="4624" max="4624" width="14.42578125" style="110" customWidth="1"/>
    <col min="4625" max="4625" width="12.5703125" style="110" customWidth="1"/>
    <col min="4626" max="4626" width="14.28515625" style="110" customWidth="1"/>
    <col min="4627" max="4864" width="9.28515625" style="110"/>
    <col min="4865" max="4865" width="4.42578125" style="110" customWidth="1"/>
    <col min="4866" max="4866" width="20.140625" style="110" customWidth="1"/>
    <col min="4867" max="4867" width="0" style="110" hidden="1" customWidth="1"/>
    <col min="4868" max="4868" width="5.85546875" style="110" customWidth="1"/>
    <col min="4869" max="4869" width="6.140625" style="110" customWidth="1"/>
    <col min="4870" max="4870" width="6.28515625" style="110" customWidth="1"/>
    <col min="4871" max="4871" width="16" style="110" customWidth="1"/>
    <col min="4872" max="4872" width="8.42578125" style="110" customWidth="1"/>
    <col min="4873" max="4873" width="8.7109375" style="110" customWidth="1"/>
    <col min="4874" max="4874" width="9.140625" style="110" customWidth="1"/>
    <col min="4875" max="4877" width="0" style="110" hidden="1" customWidth="1"/>
    <col min="4878" max="4879" width="14.140625" style="110" customWidth="1"/>
    <col min="4880" max="4880" width="14.42578125" style="110" customWidth="1"/>
    <col min="4881" max="4881" width="12.5703125" style="110" customWidth="1"/>
    <col min="4882" max="4882" width="14.28515625" style="110" customWidth="1"/>
    <col min="4883" max="5120" width="9.28515625" style="110"/>
    <col min="5121" max="5121" width="4.42578125" style="110" customWidth="1"/>
    <col min="5122" max="5122" width="20.140625" style="110" customWidth="1"/>
    <col min="5123" max="5123" width="0" style="110" hidden="1" customWidth="1"/>
    <col min="5124" max="5124" width="5.85546875" style="110" customWidth="1"/>
    <col min="5125" max="5125" width="6.140625" style="110" customWidth="1"/>
    <col min="5126" max="5126" width="6.28515625" style="110" customWidth="1"/>
    <col min="5127" max="5127" width="16" style="110" customWidth="1"/>
    <col min="5128" max="5128" width="8.42578125" style="110" customWidth="1"/>
    <col min="5129" max="5129" width="8.7109375" style="110" customWidth="1"/>
    <col min="5130" max="5130" width="9.140625" style="110" customWidth="1"/>
    <col min="5131" max="5133" width="0" style="110" hidden="1" customWidth="1"/>
    <col min="5134" max="5135" width="14.140625" style="110" customWidth="1"/>
    <col min="5136" max="5136" width="14.42578125" style="110" customWidth="1"/>
    <col min="5137" max="5137" width="12.5703125" style="110" customWidth="1"/>
    <col min="5138" max="5138" width="14.28515625" style="110" customWidth="1"/>
    <col min="5139" max="5376" width="9.28515625" style="110"/>
    <col min="5377" max="5377" width="4.42578125" style="110" customWidth="1"/>
    <col min="5378" max="5378" width="20.140625" style="110" customWidth="1"/>
    <col min="5379" max="5379" width="0" style="110" hidden="1" customWidth="1"/>
    <col min="5380" max="5380" width="5.85546875" style="110" customWidth="1"/>
    <col min="5381" max="5381" width="6.140625" style="110" customWidth="1"/>
    <col min="5382" max="5382" width="6.28515625" style="110" customWidth="1"/>
    <col min="5383" max="5383" width="16" style="110" customWidth="1"/>
    <col min="5384" max="5384" width="8.42578125" style="110" customWidth="1"/>
    <col min="5385" max="5385" width="8.7109375" style="110" customWidth="1"/>
    <col min="5386" max="5386" width="9.140625" style="110" customWidth="1"/>
    <col min="5387" max="5389" width="0" style="110" hidden="1" customWidth="1"/>
    <col min="5390" max="5391" width="14.140625" style="110" customWidth="1"/>
    <col min="5392" max="5392" width="14.42578125" style="110" customWidth="1"/>
    <col min="5393" max="5393" width="12.5703125" style="110" customWidth="1"/>
    <col min="5394" max="5394" width="14.28515625" style="110" customWidth="1"/>
    <col min="5395" max="5632" width="9.28515625" style="110"/>
    <col min="5633" max="5633" width="4.42578125" style="110" customWidth="1"/>
    <col min="5634" max="5634" width="20.140625" style="110" customWidth="1"/>
    <col min="5635" max="5635" width="0" style="110" hidden="1" customWidth="1"/>
    <col min="5636" max="5636" width="5.85546875" style="110" customWidth="1"/>
    <col min="5637" max="5637" width="6.140625" style="110" customWidth="1"/>
    <col min="5638" max="5638" width="6.28515625" style="110" customWidth="1"/>
    <col min="5639" max="5639" width="16" style="110" customWidth="1"/>
    <col min="5640" max="5640" width="8.42578125" style="110" customWidth="1"/>
    <col min="5641" max="5641" width="8.7109375" style="110" customWidth="1"/>
    <col min="5642" max="5642" width="9.140625" style="110" customWidth="1"/>
    <col min="5643" max="5645" width="0" style="110" hidden="1" customWidth="1"/>
    <col min="5646" max="5647" width="14.140625" style="110" customWidth="1"/>
    <col min="5648" max="5648" width="14.42578125" style="110" customWidth="1"/>
    <col min="5649" max="5649" width="12.5703125" style="110" customWidth="1"/>
    <col min="5650" max="5650" width="14.28515625" style="110" customWidth="1"/>
    <col min="5651" max="5888" width="9.28515625" style="110"/>
    <col min="5889" max="5889" width="4.42578125" style="110" customWidth="1"/>
    <col min="5890" max="5890" width="20.140625" style="110" customWidth="1"/>
    <col min="5891" max="5891" width="0" style="110" hidden="1" customWidth="1"/>
    <col min="5892" max="5892" width="5.85546875" style="110" customWidth="1"/>
    <col min="5893" max="5893" width="6.140625" style="110" customWidth="1"/>
    <col min="5894" max="5894" width="6.28515625" style="110" customWidth="1"/>
    <col min="5895" max="5895" width="16" style="110" customWidth="1"/>
    <col min="5896" max="5896" width="8.42578125" style="110" customWidth="1"/>
    <col min="5897" max="5897" width="8.7109375" style="110" customWidth="1"/>
    <col min="5898" max="5898" width="9.140625" style="110" customWidth="1"/>
    <col min="5899" max="5901" width="0" style="110" hidden="1" customWidth="1"/>
    <col min="5902" max="5903" width="14.140625" style="110" customWidth="1"/>
    <col min="5904" max="5904" width="14.42578125" style="110" customWidth="1"/>
    <col min="5905" max="5905" width="12.5703125" style="110" customWidth="1"/>
    <col min="5906" max="5906" width="14.28515625" style="110" customWidth="1"/>
    <col min="5907" max="6144" width="9.28515625" style="110"/>
    <col min="6145" max="6145" width="4.42578125" style="110" customWidth="1"/>
    <col min="6146" max="6146" width="20.140625" style="110" customWidth="1"/>
    <col min="6147" max="6147" width="0" style="110" hidden="1" customWidth="1"/>
    <col min="6148" max="6148" width="5.85546875" style="110" customWidth="1"/>
    <col min="6149" max="6149" width="6.140625" style="110" customWidth="1"/>
    <col min="6150" max="6150" width="6.28515625" style="110" customWidth="1"/>
    <col min="6151" max="6151" width="16" style="110" customWidth="1"/>
    <col min="6152" max="6152" width="8.42578125" style="110" customWidth="1"/>
    <col min="6153" max="6153" width="8.7109375" style="110" customWidth="1"/>
    <col min="6154" max="6154" width="9.140625" style="110" customWidth="1"/>
    <col min="6155" max="6157" width="0" style="110" hidden="1" customWidth="1"/>
    <col min="6158" max="6159" width="14.140625" style="110" customWidth="1"/>
    <col min="6160" max="6160" width="14.42578125" style="110" customWidth="1"/>
    <col min="6161" max="6161" width="12.5703125" style="110" customWidth="1"/>
    <col min="6162" max="6162" width="14.28515625" style="110" customWidth="1"/>
    <col min="6163" max="6400" width="9.28515625" style="110"/>
    <col min="6401" max="6401" width="4.42578125" style="110" customWidth="1"/>
    <col min="6402" max="6402" width="20.140625" style="110" customWidth="1"/>
    <col min="6403" max="6403" width="0" style="110" hidden="1" customWidth="1"/>
    <col min="6404" max="6404" width="5.85546875" style="110" customWidth="1"/>
    <col min="6405" max="6405" width="6.140625" style="110" customWidth="1"/>
    <col min="6406" max="6406" width="6.28515625" style="110" customWidth="1"/>
    <col min="6407" max="6407" width="16" style="110" customWidth="1"/>
    <col min="6408" max="6408" width="8.42578125" style="110" customWidth="1"/>
    <col min="6409" max="6409" width="8.7109375" style="110" customWidth="1"/>
    <col min="6410" max="6410" width="9.140625" style="110" customWidth="1"/>
    <col min="6411" max="6413" width="0" style="110" hidden="1" customWidth="1"/>
    <col min="6414" max="6415" width="14.140625" style="110" customWidth="1"/>
    <col min="6416" max="6416" width="14.42578125" style="110" customWidth="1"/>
    <col min="6417" max="6417" width="12.5703125" style="110" customWidth="1"/>
    <col min="6418" max="6418" width="14.28515625" style="110" customWidth="1"/>
    <col min="6419" max="6656" width="9.28515625" style="110"/>
    <col min="6657" max="6657" width="4.42578125" style="110" customWidth="1"/>
    <col min="6658" max="6658" width="20.140625" style="110" customWidth="1"/>
    <col min="6659" max="6659" width="0" style="110" hidden="1" customWidth="1"/>
    <col min="6660" max="6660" width="5.85546875" style="110" customWidth="1"/>
    <col min="6661" max="6661" width="6.140625" style="110" customWidth="1"/>
    <col min="6662" max="6662" width="6.28515625" style="110" customWidth="1"/>
    <col min="6663" max="6663" width="16" style="110" customWidth="1"/>
    <col min="6664" max="6664" width="8.42578125" style="110" customWidth="1"/>
    <col min="6665" max="6665" width="8.7109375" style="110" customWidth="1"/>
    <col min="6666" max="6666" width="9.140625" style="110" customWidth="1"/>
    <col min="6667" max="6669" width="0" style="110" hidden="1" customWidth="1"/>
    <col min="6670" max="6671" width="14.140625" style="110" customWidth="1"/>
    <col min="6672" max="6672" width="14.42578125" style="110" customWidth="1"/>
    <col min="6673" max="6673" width="12.5703125" style="110" customWidth="1"/>
    <col min="6674" max="6674" width="14.28515625" style="110" customWidth="1"/>
    <col min="6675" max="6912" width="9.28515625" style="110"/>
    <col min="6913" max="6913" width="4.42578125" style="110" customWidth="1"/>
    <col min="6914" max="6914" width="20.140625" style="110" customWidth="1"/>
    <col min="6915" max="6915" width="0" style="110" hidden="1" customWidth="1"/>
    <col min="6916" max="6916" width="5.85546875" style="110" customWidth="1"/>
    <col min="6917" max="6917" width="6.140625" style="110" customWidth="1"/>
    <col min="6918" max="6918" width="6.28515625" style="110" customWidth="1"/>
    <col min="6919" max="6919" width="16" style="110" customWidth="1"/>
    <col min="6920" max="6920" width="8.42578125" style="110" customWidth="1"/>
    <col min="6921" max="6921" width="8.7109375" style="110" customWidth="1"/>
    <col min="6922" max="6922" width="9.140625" style="110" customWidth="1"/>
    <col min="6923" max="6925" width="0" style="110" hidden="1" customWidth="1"/>
    <col min="6926" max="6927" width="14.140625" style="110" customWidth="1"/>
    <col min="6928" max="6928" width="14.42578125" style="110" customWidth="1"/>
    <col min="6929" max="6929" width="12.5703125" style="110" customWidth="1"/>
    <col min="6930" max="6930" width="14.28515625" style="110" customWidth="1"/>
    <col min="6931" max="7168" width="9.28515625" style="110"/>
    <col min="7169" max="7169" width="4.42578125" style="110" customWidth="1"/>
    <col min="7170" max="7170" width="20.140625" style="110" customWidth="1"/>
    <col min="7171" max="7171" width="0" style="110" hidden="1" customWidth="1"/>
    <col min="7172" max="7172" width="5.85546875" style="110" customWidth="1"/>
    <col min="7173" max="7173" width="6.140625" style="110" customWidth="1"/>
    <col min="7174" max="7174" width="6.28515625" style="110" customWidth="1"/>
    <col min="7175" max="7175" width="16" style="110" customWidth="1"/>
    <col min="7176" max="7176" width="8.42578125" style="110" customWidth="1"/>
    <col min="7177" max="7177" width="8.7109375" style="110" customWidth="1"/>
    <col min="7178" max="7178" width="9.140625" style="110" customWidth="1"/>
    <col min="7179" max="7181" width="0" style="110" hidden="1" customWidth="1"/>
    <col min="7182" max="7183" width="14.140625" style="110" customWidth="1"/>
    <col min="7184" max="7184" width="14.42578125" style="110" customWidth="1"/>
    <col min="7185" max="7185" width="12.5703125" style="110" customWidth="1"/>
    <col min="7186" max="7186" width="14.28515625" style="110" customWidth="1"/>
    <col min="7187" max="7424" width="9.28515625" style="110"/>
    <col min="7425" max="7425" width="4.42578125" style="110" customWidth="1"/>
    <col min="7426" max="7426" width="20.140625" style="110" customWidth="1"/>
    <col min="7427" max="7427" width="0" style="110" hidden="1" customWidth="1"/>
    <col min="7428" max="7428" width="5.85546875" style="110" customWidth="1"/>
    <col min="7429" max="7429" width="6.140625" style="110" customWidth="1"/>
    <col min="7430" max="7430" width="6.28515625" style="110" customWidth="1"/>
    <col min="7431" max="7431" width="16" style="110" customWidth="1"/>
    <col min="7432" max="7432" width="8.42578125" style="110" customWidth="1"/>
    <col min="7433" max="7433" width="8.7109375" style="110" customWidth="1"/>
    <col min="7434" max="7434" width="9.140625" style="110" customWidth="1"/>
    <col min="7435" max="7437" width="0" style="110" hidden="1" customWidth="1"/>
    <col min="7438" max="7439" width="14.140625" style="110" customWidth="1"/>
    <col min="7440" max="7440" width="14.42578125" style="110" customWidth="1"/>
    <col min="7441" max="7441" width="12.5703125" style="110" customWidth="1"/>
    <col min="7442" max="7442" width="14.28515625" style="110" customWidth="1"/>
    <col min="7443" max="7680" width="9.28515625" style="110"/>
    <col min="7681" max="7681" width="4.42578125" style="110" customWidth="1"/>
    <col min="7682" max="7682" width="20.140625" style="110" customWidth="1"/>
    <col min="7683" max="7683" width="0" style="110" hidden="1" customWidth="1"/>
    <col min="7684" max="7684" width="5.85546875" style="110" customWidth="1"/>
    <col min="7685" max="7685" width="6.140625" style="110" customWidth="1"/>
    <col min="7686" max="7686" width="6.28515625" style="110" customWidth="1"/>
    <col min="7687" max="7687" width="16" style="110" customWidth="1"/>
    <col min="7688" max="7688" width="8.42578125" style="110" customWidth="1"/>
    <col min="7689" max="7689" width="8.7109375" style="110" customWidth="1"/>
    <col min="7690" max="7690" width="9.140625" style="110" customWidth="1"/>
    <col min="7691" max="7693" width="0" style="110" hidden="1" customWidth="1"/>
    <col min="7694" max="7695" width="14.140625" style="110" customWidth="1"/>
    <col min="7696" max="7696" width="14.42578125" style="110" customWidth="1"/>
    <col min="7697" max="7697" width="12.5703125" style="110" customWidth="1"/>
    <col min="7698" max="7698" width="14.28515625" style="110" customWidth="1"/>
    <col min="7699" max="7936" width="9.28515625" style="110"/>
    <col min="7937" max="7937" width="4.42578125" style="110" customWidth="1"/>
    <col min="7938" max="7938" width="20.140625" style="110" customWidth="1"/>
    <col min="7939" max="7939" width="0" style="110" hidden="1" customWidth="1"/>
    <col min="7940" max="7940" width="5.85546875" style="110" customWidth="1"/>
    <col min="7941" max="7941" width="6.140625" style="110" customWidth="1"/>
    <col min="7942" max="7942" width="6.28515625" style="110" customWidth="1"/>
    <col min="7943" max="7943" width="16" style="110" customWidth="1"/>
    <col min="7944" max="7944" width="8.42578125" style="110" customWidth="1"/>
    <col min="7945" max="7945" width="8.7109375" style="110" customWidth="1"/>
    <col min="7946" max="7946" width="9.140625" style="110" customWidth="1"/>
    <col min="7947" max="7949" width="0" style="110" hidden="1" customWidth="1"/>
    <col min="7950" max="7951" width="14.140625" style="110" customWidth="1"/>
    <col min="7952" max="7952" width="14.42578125" style="110" customWidth="1"/>
    <col min="7953" max="7953" width="12.5703125" style="110" customWidth="1"/>
    <col min="7954" max="7954" width="14.28515625" style="110" customWidth="1"/>
    <col min="7955" max="8192" width="9.28515625" style="110"/>
    <col min="8193" max="8193" width="4.42578125" style="110" customWidth="1"/>
    <col min="8194" max="8194" width="20.140625" style="110" customWidth="1"/>
    <col min="8195" max="8195" width="0" style="110" hidden="1" customWidth="1"/>
    <col min="8196" max="8196" width="5.85546875" style="110" customWidth="1"/>
    <col min="8197" max="8197" width="6.140625" style="110" customWidth="1"/>
    <col min="8198" max="8198" width="6.28515625" style="110" customWidth="1"/>
    <col min="8199" max="8199" width="16" style="110" customWidth="1"/>
    <col min="8200" max="8200" width="8.42578125" style="110" customWidth="1"/>
    <col min="8201" max="8201" width="8.7109375" style="110" customWidth="1"/>
    <col min="8202" max="8202" width="9.140625" style="110" customWidth="1"/>
    <col min="8203" max="8205" width="0" style="110" hidden="1" customWidth="1"/>
    <col min="8206" max="8207" width="14.140625" style="110" customWidth="1"/>
    <col min="8208" max="8208" width="14.42578125" style="110" customWidth="1"/>
    <col min="8209" max="8209" width="12.5703125" style="110" customWidth="1"/>
    <col min="8210" max="8210" width="14.28515625" style="110" customWidth="1"/>
    <col min="8211" max="8448" width="9.28515625" style="110"/>
    <col min="8449" max="8449" width="4.42578125" style="110" customWidth="1"/>
    <col min="8450" max="8450" width="20.140625" style="110" customWidth="1"/>
    <col min="8451" max="8451" width="0" style="110" hidden="1" customWidth="1"/>
    <col min="8452" max="8452" width="5.85546875" style="110" customWidth="1"/>
    <col min="8453" max="8453" width="6.140625" style="110" customWidth="1"/>
    <col min="8454" max="8454" width="6.28515625" style="110" customWidth="1"/>
    <col min="8455" max="8455" width="16" style="110" customWidth="1"/>
    <col min="8456" max="8456" width="8.42578125" style="110" customWidth="1"/>
    <col min="8457" max="8457" width="8.7109375" style="110" customWidth="1"/>
    <col min="8458" max="8458" width="9.140625" style="110" customWidth="1"/>
    <col min="8459" max="8461" width="0" style="110" hidden="1" customWidth="1"/>
    <col min="8462" max="8463" width="14.140625" style="110" customWidth="1"/>
    <col min="8464" max="8464" width="14.42578125" style="110" customWidth="1"/>
    <col min="8465" max="8465" width="12.5703125" style="110" customWidth="1"/>
    <col min="8466" max="8466" width="14.28515625" style="110" customWidth="1"/>
    <col min="8467" max="8704" width="9.28515625" style="110"/>
    <col min="8705" max="8705" width="4.42578125" style="110" customWidth="1"/>
    <col min="8706" max="8706" width="20.140625" style="110" customWidth="1"/>
    <col min="8707" max="8707" width="0" style="110" hidden="1" customWidth="1"/>
    <col min="8708" max="8708" width="5.85546875" style="110" customWidth="1"/>
    <col min="8709" max="8709" width="6.140625" style="110" customWidth="1"/>
    <col min="8710" max="8710" width="6.28515625" style="110" customWidth="1"/>
    <col min="8711" max="8711" width="16" style="110" customWidth="1"/>
    <col min="8712" max="8712" width="8.42578125" style="110" customWidth="1"/>
    <col min="8713" max="8713" width="8.7109375" style="110" customWidth="1"/>
    <col min="8714" max="8714" width="9.140625" style="110" customWidth="1"/>
    <col min="8715" max="8717" width="0" style="110" hidden="1" customWidth="1"/>
    <col min="8718" max="8719" width="14.140625" style="110" customWidth="1"/>
    <col min="8720" max="8720" width="14.42578125" style="110" customWidth="1"/>
    <col min="8721" max="8721" width="12.5703125" style="110" customWidth="1"/>
    <col min="8722" max="8722" width="14.28515625" style="110" customWidth="1"/>
    <col min="8723" max="8960" width="9.28515625" style="110"/>
    <col min="8961" max="8961" width="4.42578125" style="110" customWidth="1"/>
    <col min="8962" max="8962" width="20.140625" style="110" customWidth="1"/>
    <col min="8963" max="8963" width="0" style="110" hidden="1" customWidth="1"/>
    <col min="8964" max="8964" width="5.85546875" style="110" customWidth="1"/>
    <col min="8965" max="8965" width="6.140625" style="110" customWidth="1"/>
    <col min="8966" max="8966" width="6.28515625" style="110" customWidth="1"/>
    <col min="8967" max="8967" width="16" style="110" customWidth="1"/>
    <col min="8968" max="8968" width="8.42578125" style="110" customWidth="1"/>
    <col min="8969" max="8969" width="8.7109375" style="110" customWidth="1"/>
    <col min="8970" max="8970" width="9.140625" style="110" customWidth="1"/>
    <col min="8971" max="8973" width="0" style="110" hidden="1" customWidth="1"/>
    <col min="8974" max="8975" width="14.140625" style="110" customWidth="1"/>
    <col min="8976" max="8976" width="14.42578125" style="110" customWidth="1"/>
    <col min="8977" max="8977" width="12.5703125" style="110" customWidth="1"/>
    <col min="8978" max="8978" width="14.28515625" style="110" customWidth="1"/>
    <col min="8979" max="9216" width="9.28515625" style="110"/>
    <col min="9217" max="9217" width="4.42578125" style="110" customWidth="1"/>
    <col min="9218" max="9218" width="20.140625" style="110" customWidth="1"/>
    <col min="9219" max="9219" width="0" style="110" hidden="1" customWidth="1"/>
    <col min="9220" max="9220" width="5.85546875" style="110" customWidth="1"/>
    <col min="9221" max="9221" width="6.140625" style="110" customWidth="1"/>
    <col min="9222" max="9222" width="6.28515625" style="110" customWidth="1"/>
    <col min="9223" max="9223" width="16" style="110" customWidth="1"/>
    <col min="9224" max="9224" width="8.42578125" style="110" customWidth="1"/>
    <col min="9225" max="9225" width="8.7109375" style="110" customWidth="1"/>
    <col min="9226" max="9226" width="9.140625" style="110" customWidth="1"/>
    <col min="9227" max="9229" width="0" style="110" hidden="1" customWidth="1"/>
    <col min="9230" max="9231" width="14.140625" style="110" customWidth="1"/>
    <col min="9232" max="9232" width="14.42578125" style="110" customWidth="1"/>
    <col min="9233" max="9233" width="12.5703125" style="110" customWidth="1"/>
    <col min="9234" max="9234" width="14.28515625" style="110" customWidth="1"/>
    <col min="9235" max="9472" width="9.28515625" style="110"/>
    <col min="9473" max="9473" width="4.42578125" style="110" customWidth="1"/>
    <col min="9474" max="9474" width="20.140625" style="110" customWidth="1"/>
    <col min="9475" max="9475" width="0" style="110" hidden="1" customWidth="1"/>
    <col min="9476" max="9476" width="5.85546875" style="110" customWidth="1"/>
    <col min="9477" max="9477" width="6.140625" style="110" customWidth="1"/>
    <col min="9478" max="9478" width="6.28515625" style="110" customWidth="1"/>
    <col min="9479" max="9479" width="16" style="110" customWidth="1"/>
    <col min="9480" max="9480" width="8.42578125" style="110" customWidth="1"/>
    <col min="9481" max="9481" width="8.7109375" style="110" customWidth="1"/>
    <col min="9482" max="9482" width="9.140625" style="110" customWidth="1"/>
    <col min="9483" max="9485" width="0" style="110" hidden="1" customWidth="1"/>
    <col min="9486" max="9487" width="14.140625" style="110" customWidth="1"/>
    <col min="9488" max="9488" width="14.42578125" style="110" customWidth="1"/>
    <col min="9489" max="9489" width="12.5703125" style="110" customWidth="1"/>
    <col min="9490" max="9490" width="14.28515625" style="110" customWidth="1"/>
    <col min="9491" max="9728" width="9.28515625" style="110"/>
    <col min="9729" max="9729" width="4.42578125" style="110" customWidth="1"/>
    <col min="9730" max="9730" width="20.140625" style="110" customWidth="1"/>
    <col min="9731" max="9731" width="0" style="110" hidden="1" customWidth="1"/>
    <col min="9732" max="9732" width="5.85546875" style="110" customWidth="1"/>
    <col min="9733" max="9733" width="6.140625" style="110" customWidth="1"/>
    <col min="9734" max="9734" width="6.28515625" style="110" customWidth="1"/>
    <col min="9735" max="9735" width="16" style="110" customWidth="1"/>
    <col min="9736" max="9736" width="8.42578125" style="110" customWidth="1"/>
    <col min="9737" max="9737" width="8.7109375" style="110" customWidth="1"/>
    <col min="9738" max="9738" width="9.140625" style="110" customWidth="1"/>
    <col min="9739" max="9741" width="0" style="110" hidden="1" customWidth="1"/>
    <col min="9742" max="9743" width="14.140625" style="110" customWidth="1"/>
    <col min="9744" max="9744" width="14.42578125" style="110" customWidth="1"/>
    <col min="9745" max="9745" width="12.5703125" style="110" customWidth="1"/>
    <col min="9746" max="9746" width="14.28515625" style="110" customWidth="1"/>
    <col min="9747" max="9984" width="9.28515625" style="110"/>
    <col min="9985" max="9985" width="4.42578125" style="110" customWidth="1"/>
    <col min="9986" max="9986" width="20.140625" style="110" customWidth="1"/>
    <col min="9987" max="9987" width="0" style="110" hidden="1" customWidth="1"/>
    <col min="9988" max="9988" width="5.85546875" style="110" customWidth="1"/>
    <col min="9989" max="9989" width="6.140625" style="110" customWidth="1"/>
    <col min="9990" max="9990" width="6.28515625" style="110" customWidth="1"/>
    <col min="9991" max="9991" width="16" style="110" customWidth="1"/>
    <col min="9992" max="9992" width="8.42578125" style="110" customWidth="1"/>
    <col min="9993" max="9993" width="8.7109375" style="110" customWidth="1"/>
    <col min="9994" max="9994" width="9.140625" style="110" customWidth="1"/>
    <col min="9995" max="9997" width="0" style="110" hidden="1" customWidth="1"/>
    <col min="9998" max="9999" width="14.140625" style="110" customWidth="1"/>
    <col min="10000" max="10000" width="14.42578125" style="110" customWidth="1"/>
    <col min="10001" max="10001" width="12.5703125" style="110" customWidth="1"/>
    <col min="10002" max="10002" width="14.28515625" style="110" customWidth="1"/>
    <col min="10003" max="10240" width="9.28515625" style="110"/>
    <col min="10241" max="10241" width="4.42578125" style="110" customWidth="1"/>
    <col min="10242" max="10242" width="20.140625" style="110" customWidth="1"/>
    <col min="10243" max="10243" width="0" style="110" hidden="1" customWidth="1"/>
    <col min="10244" max="10244" width="5.85546875" style="110" customWidth="1"/>
    <col min="10245" max="10245" width="6.140625" style="110" customWidth="1"/>
    <col min="10246" max="10246" width="6.28515625" style="110" customWidth="1"/>
    <col min="10247" max="10247" width="16" style="110" customWidth="1"/>
    <col min="10248" max="10248" width="8.42578125" style="110" customWidth="1"/>
    <col min="10249" max="10249" width="8.7109375" style="110" customWidth="1"/>
    <col min="10250" max="10250" width="9.140625" style="110" customWidth="1"/>
    <col min="10251" max="10253" width="0" style="110" hidden="1" customWidth="1"/>
    <col min="10254" max="10255" width="14.140625" style="110" customWidth="1"/>
    <col min="10256" max="10256" width="14.42578125" style="110" customWidth="1"/>
    <col min="10257" max="10257" width="12.5703125" style="110" customWidth="1"/>
    <col min="10258" max="10258" width="14.28515625" style="110" customWidth="1"/>
    <col min="10259" max="10496" width="9.28515625" style="110"/>
    <col min="10497" max="10497" width="4.42578125" style="110" customWidth="1"/>
    <col min="10498" max="10498" width="20.140625" style="110" customWidth="1"/>
    <col min="10499" max="10499" width="0" style="110" hidden="1" customWidth="1"/>
    <col min="10500" max="10500" width="5.85546875" style="110" customWidth="1"/>
    <col min="10501" max="10501" width="6.140625" style="110" customWidth="1"/>
    <col min="10502" max="10502" width="6.28515625" style="110" customWidth="1"/>
    <col min="10503" max="10503" width="16" style="110" customWidth="1"/>
    <col min="10504" max="10504" width="8.42578125" style="110" customWidth="1"/>
    <col min="10505" max="10505" width="8.7109375" style="110" customWidth="1"/>
    <col min="10506" max="10506" width="9.140625" style="110" customWidth="1"/>
    <col min="10507" max="10509" width="0" style="110" hidden="1" customWidth="1"/>
    <col min="10510" max="10511" width="14.140625" style="110" customWidth="1"/>
    <col min="10512" max="10512" width="14.42578125" style="110" customWidth="1"/>
    <col min="10513" max="10513" width="12.5703125" style="110" customWidth="1"/>
    <col min="10514" max="10514" width="14.28515625" style="110" customWidth="1"/>
    <col min="10515" max="10752" width="9.28515625" style="110"/>
    <col min="10753" max="10753" width="4.42578125" style="110" customWidth="1"/>
    <col min="10754" max="10754" width="20.140625" style="110" customWidth="1"/>
    <col min="10755" max="10755" width="0" style="110" hidden="1" customWidth="1"/>
    <col min="10756" max="10756" width="5.85546875" style="110" customWidth="1"/>
    <col min="10757" max="10757" width="6.140625" style="110" customWidth="1"/>
    <col min="10758" max="10758" width="6.28515625" style="110" customWidth="1"/>
    <col min="10759" max="10759" width="16" style="110" customWidth="1"/>
    <col min="10760" max="10760" width="8.42578125" style="110" customWidth="1"/>
    <col min="10761" max="10761" width="8.7109375" style="110" customWidth="1"/>
    <col min="10762" max="10762" width="9.140625" style="110" customWidth="1"/>
    <col min="10763" max="10765" width="0" style="110" hidden="1" customWidth="1"/>
    <col min="10766" max="10767" width="14.140625" style="110" customWidth="1"/>
    <col min="10768" max="10768" width="14.42578125" style="110" customWidth="1"/>
    <col min="10769" max="10769" width="12.5703125" style="110" customWidth="1"/>
    <col min="10770" max="10770" width="14.28515625" style="110" customWidth="1"/>
    <col min="10771" max="11008" width="9.28515625" style="110"/>
    <col min="11009" max="11009" width="4.42578125" style="110" customWidth="1"/>
    <col min="11010" max="11010" width="20.140625" style="110" customWidth="1"/>
    <col min="11011" max="11011" width="0" style="110" hidden="1" customWidth="1"/>
    <col min="11012" max="11012" width="5.85546875" style="110" customWidth="1"/>
    <col min="11013" max="11013" width="6.140625" style="110" customWidth="1"/>
    <col min="11014" max="11014" width="6.28515625" style="110" customWidth="1"/>
    <col min="11015" max="11015" width="16" style="110" customWidth="1"/>
    <col min="11016" max="11016" width="8.42578125" style="110" customWidth="1"/>
    <col min="11017" max="11017" width="8.7109375" style="110" customWidth="1"/>
    <col min="11018" max="11018" width="9.140625" style="110" customWidth="1"/>
    <col min="11019" max="11021" width="0" style="110" hidden="1" customWidth="1"/>
    <col min="11022" max="11023" width="14.140625" style="110" customWidth="1"/>
    <col min="11024" max="11024" width="14.42578125" style="110" customWidth="1"/>
    <col min="11025" max="11025" width="12.5703125" style="110" customWidth="1"/>
    <col min="11026" max="11026" width="14.28515625" style="110" customWidth="1"/>
    <col min="11027" max="11264" width="9.28515625" style="110"/>
    <col min="11265" max="11265" width="4.42578125" style="110" customWidth="1"/>
    <col min="11266" max="11266" width="20.140625" style="110" customWidth="1"/>
    <col min="11267" max="11267" width="0" style="110" hidden="1" customWidth="1"/>
    <col min="11268" max="11268" width="5.85546875" style="110" customWidth="1"/>
    <col min="11269" max="11269" width="6.140625" style="110" customWidth="1"/>
    <col min="11270" max="11270" width="6.28515625" style="110" customWidth="1"/>
    <col min="11271" max="11271" width="16" style="110" customWidth="1"/>
    <col min="11272" max="11272" width="8.42578125" style="110" customWidth="1"/>
    <col min="11273" max="11273" width="8.7109375" style="110" customWidth="1"/>
    <col min="11274" max="11274" width="9.140625" style="110" customWidth="1"/>
    <col min="11275" max="11277" width="0" style="110" hidden="1" customWidth="1"/>
    <col min="11278" max="11279" width="14.140625" style="110" customWidth="1"/>
    <col min="11280" max="11280" width="14.42578125" style="110" customWidth="1"/>
    <col min="11281" max="11281" width="12.5703125" style="110" customWidth="1"/>
    <col min="11282" max="11282" width="14.28515625" style="110" customWidth="1"/>
    <col min="11283" max="11520" width="9.28515625" style="110"/>
    <col min="11521" max="11521" width="4.42578125" style="110" customWidth="1"/>
    <col min="11522" max="11522" width="20.140625" style="110" customWidth="1"/>
    <col min="11523" max="11523" width="0" style="110" hidden="1" customWidth="1"/>
    <col min="11524" max="11524" width="5.85546875" style="110" customWidth="1"/>
    <col min="11525" max="11525" width="6.140625" style="110" customWidth="1"/>
    <col min="11526" max="11526" width="6.28515625" style="110" customWidth="1"/>
    <col min="11527" max="11527" width="16" style="110" customWidth="1"/>
    <col min="11528" max="11528" width="8.42578125" style="110" customWidth="1"/>
    <col min="11529" max="11529" width="8.7109375" style="110" customWidth="1"/>
    <col min="11530" max="11530" width="9.140625" style="110" customWidth="1"/>
    <col min="11531" max="11533" width="0" style="110" hidden="1" customWidth="1"/>
    <col min="11534" max="11535" width="14.140625" style="110" customWidth="1"/>
    <col min="11536" max="11536" width="14.42578125" style="110" customWidth="1"/>
    <col min="11537" max="11537" width="12.5703125" style="110" customWidth="1"/>
    <col min="11538" max="11538" width="14.28515625" style="110" customWidth="1"/>
    <col min="11539" max="11776" width="9.28515625" style="110"/>
    <col min="11777" max="11777" width="4.42578125" style="110" customWidth="1"/>
    <col min="11778" max="11778" width="20.140625" style="110" customWidth="1"/>
    <col min="11779" max="11779" width="0" style="110" hidden="1" customWidth="1"/>
    <col min="11780" max="11780" width="5.85546875" style="110" customWidth="1"/>
    <col min="11781" max="11781" width="6.140625" style="110" customWidth="1"/>
    <col min="11782" max="11782" width="6.28515625" style="110" customWidth="1"/>
    <col min="11783" max="11783" width="16" style="110" customWidth="1"/>
    <col min="11784" max="11784" width="8.42578125" style="110" customWidth="1"/>
    <col min="11785" max="11785" width="8.7109375" style="110" customWidth="1"/>
    <col min="11786" max="11786" width="9.140625" style="110" customWidth="1"/>
    <col min="11787" max="11789" width="0" style="110" hidden="1" customWidth="1"/>
    <col min="11790" max="11791" width="14.140625" style="110" customWidth="1"/>
    <col min="11792" max="11792" width="14.42578125" style="110" customWidth="1"/>
    <col min="11793" max="11793" width="12.5703125" style="110" customWidth="1"/>
    <col min="11794" max="11794" width="14.28515625" style="110" customWidth="1"/>
    <col min="11795" max="12032" width="9.28515625" style="110"/>
    <col min="12033" max="12033" width="4.42578125" style="110" customWidth="1"/>
    <col min="12034" max="12034" width="20.140625" style="110" customWidth="1"/>
    <col min="12035" max="12035" width="0" style="110" hidden="1" customWidth="1"/>
    <col min="12036" max="12036" width="5.85546875" style="110" customWidth="1"/>
    <col min="12037" max="12037" width="6.140625" style="110" customWidth="1"/>
    <col min="12038" max="12038" width="6.28515625" style="110" customWidth="1"/>
    <col min="12039" max="12039" width="16" style="110" customWidth="1"/>
    <col min="12040" max="12040" width="8.42578125" style="110" customWidth="1"/>
    <col min="12041" max="12041" width="8.7109375" style="110" customWidth="1"/>
    <col min="12042" max="12042" width="9.140625" style="110" customWidth="1"/>
    <col min="12043" max="12045" width="0" style="110" hidden="1" customWidth="1"/>
    <col min="12046" max="12047" width="14.140625" style="110" customWidth="1"/>
    <col min="12048" max="12048" width="14.42578125" style="110" customWidth="1"/>
    <col min="12049" max="12049" width="12.5703125" style="110" customWidth="1"/>
    <col min="12050" max="12050" width="14.28515625" style="110" customWidth="1"/>
    <col min="12051" max="12288" width="9.28515625" style="110"/>
    <col min="12289" max="12289" width="4.42578125" style="110" customWidth="1"/>
    <col min="12290" max="12290" width="20.140625" style="110" customWidth="1"/>
    <col min="12291" max="12291" width="0" style="110" hidden="1" customWidth="1"/>
    <col min="12292" max="12292" width="5.85546875" style="110" customWidth="1"/>
    <col min="12293" max="12293" width="6.140625" style="110" customWidth="1"/>
    <col min="12294" max="12294" width="6.28515625" style="110" customWidth="1"/>
    <col min="12295" max="12295" width="16" style="110" customWidth="1"/>
    <col min="12296" max="12296" width="8.42578125" style="110" customWidth="1"/>
    <col min="12297" max="12297" width="8.7109375" style="110" customWidth="1"/>
    <col min="12298" max="12298" width="9.140625" style="110" customWidth="1"/>
    <col min="12299" max="12301" width="0" style="110" hidden="1" customWidth="1"/>
    <col min="12302" max="12303" width="14.140625" style="110" customWidth="1"/>
    <col min="12304" max="12304" width="14.42578125" style="110" customWidth="1"/>
    <col min="12305" max="12305" width="12.5703125" style="110" customWidth="1"/>
    <col min="12306" max="12306" width="14.28515625" style="110" customWidth="1"/>
    <col min="12307" max="12544" width="9.28515625" style="110"/>
    <col min="12545" max="12545" width="4.42578125" style="110" customWidth="1"/>
    <col min="12546" max="12546" width="20.140625" style="110" customWidth="1"/>
    <col min="12547" max="12547" width="0" style="110" hidden="1" customWidth="1"/>
    <col min="12548" max="12548" width="5.85546875" style="110" customWidth="1"/>
    <col min="12549" max="12549" width="6.140625" style="110" customWidth="1"/>
    <col min="12550" max="12550" width="6.28515625" style="110" customWidth="1"/>
    <col min="12551" max="12551" width="16" style="110" customWidth="1"/>
    <col min="12552" max="12552" width="8.42578125" style="110" customWidth="1"/>
    <col min="12553" max="12553" width="8.7109375" style="110" customWidth="1"/>
    <col min="12554" max="12554" width="9.140625" style="110" customWidth="1"/>
    <col min="12555" max="12557" width="0" style="110" hidden="1" customWidth="1"/>
    <col min="12558" max="12559" width="14.140625" style="110" customWidth="1"/>
    <col min="12560" max="12560" width="14.42578125" style="110" customWidth="1"/>
    <col min="12561" max="12561" width="12.5703125" style="110" customWidth="1"/>
    <col min="12562" max="12562" width="14.28515625" style="110" customWidth="1"/>
    <col min="12563" max="12800" width="9.28515625" style="110"/>
    <col min="12801" max="12801" width="4.42578125" style="110" customWidth="1"/>
    <col min="12802" max="12802" width="20.140625" style="110" customWidth="1"/>
    <col min="12803" max="12803" width="0" style="110" hidden="1" customWidth="1"/>
    <col min="12804" max="12804" width="5.85546875" style="110" customWidth="1"/>
    <col min="12805" max="12805" width="6.140625" style="110" customWidth="1"/>
    <col min="12806" max="12806" width="6.28515625" style="110" customWidth="1"/>
    <col min="12807" max="12807" width="16" style="110" customWidth="1"/>
    <col min="12808" max="12808" width="8.42578125" style="110" customWidth="1"/>
    <col min="12809" max="12809" width="8.7109375" style="110" customWidth="1"/>
    <col min="12810" max="12810" width="9.140625" style="110" customWidth="1"/>
    <col min="12811" max="12813" width="0" style="110" hidden="1" customWidth="1"/>
    <col min="12814" max="12815" width="14.140625" style="110" customWidth="1"/>
    <col min="12816" max="12816" width="14.42578125" style="110" customWidth="1"/>
    <col min="12817" max="12817" width="12.5703125" style="110" customWidth="1"/>
    <col min="12818" max="12818" width="14.28515625" style="110" customWidth="1"/>
    <col min="12819" max="13056" width="9.28515625" style="110"/>
    <col min="13057" max="13057" width="4.42578125" style="110" customWidth="1"/>
    <col min="13058" max="13058" width="20.140625" style="110" customWidth="1"/>
    <col min="13059" max="13059" width="0" style="110" hidden="1" customWidth="1"/>
    <col min="13060" max="13060" width="5.85546875" style="110" customWidth="1"/>
    <col min="13061" max="13061" width="6.140625" style="110" customWidth="1"/>
    <col min="13062" max="13062" width="6.28515625" style="110" customWidth="1"/>
    <col min="13063" max="13063" width="16" style="110" customWidth="1"/>
    <col min="13064" max="13064" width="8.42578125" style="110" customWidth="1"/>
    <col min="13065" max="13065" width="8.7109375" style="110" customWidth="1"/>
    <col min="13066" max="13066" width="9.140625" style="110" customWidth="1"/>
    <col min="13067" max="13069" width="0" style="110" hidden="1" customWidth="1"/>
    <col min="13070" max="13071" width="14.140625" style="110" customWidth="1"/>
    <col min="13072" max="13072" width="14.42578125" style="110" customWidth="1"/>
    <col min="13073" max="13073" width="12.5703125" style="110" customWidth="1"/>
    <col min="13074" max="13074" width="14.28515625" style="110" customWidth="1"/>
    <col min="13075" max="13312" width="9.28515625" style="110"/>
    <col min="13313" max="13313" width="4.42578125" style="110" customWidth="1"/>
    <col min="13314" max="13314" width="20.140625" style="110" customWidth="1"/>
    <col min="13315" max="13315" width="0" style="110" hidden="1" customWidth="1"/>
    <col min="13316" max="13316" width="5.85546875" style="110" customWidth="1"/>
    <col min="13317" max="13317" width="6.140625" style="110" customWidth="1"/>
    <col min="13318" max="13318" width="6.28515625" style="110" customWidth="1"/>
    <col min="13319" max="13319" width="16" style="110" customWidth="1"/>
    <col min="13320" max="13320" width="8.42578125" style="110" customWidth="1"/>
    <col min="13321" max="13321" width="8.7109375" style="110" customWidth="1"/>
    <col min="13322" max="13322" width="9.140625" style="110" customWidth="1"/>
    <col min="13323" max="13325" width="0" style="110" hidden="1" customWidth="1"/>
    <col min="13326" max="13327" width="14.140625" style="110" customWidth="1"/>
    <col min="13328" max="13328" width="14.42578125" style="110" customWidth="1"/>
    <col min="13329" max="13329" width="12.5703125" style="110" customWidth="1"/>
    <col min="13330" max="13330" width="14.28515625" style="110" customWidth="1"/>
    <col min="13331" max="13568" width="9.28515625" style="110"/>
    <col min="13569" max="13569" width="4.42578125" style="110" customWidth="1"/>
    <col min="13570" max="13570" width="20.140625" style="110" customWidth="1"/>
    <col min="13571" max="13571" width="0" style="110" hidden="1" customWidth="1"/>
    <col min="13572" max="13572" width="5.85546875" style="110" customWidth="1"/>
    <col min="13573" max="13573" width="6.140625" style="110" customWidth="1"/>
    <col min="13574" max="13574" width="6.28515625" style="110" customWidth="1"/>
    <col min="13575" max="13575" width="16" style="110" customWidth="1"/>
    <col min="13576" max="13576" width="8.42578125" style="110" customWidth="1"/>
    <col min="13577" max="13577" width="8.7109375" style="110" customWidth="1"/>
    <col min="13578" max="13578" width="9.140625" style="110" customWidth="1"/>
    <col min="13579" max="13581" width="0" style="110" hidden="1" customWidth="1"/>
    <col min="13582" max="13583" width="14.140625" style="110" customWidth="1"/>
    <col min="13584" max="13584" width="14.42578125" style="110" customWidth="1"/>
    <col min="13585" max="13585" width="12.5703125" style="110" customWidth="1"/>
    <col min="13586" max="13586" width="14.28515625" style="110" customWidth="1"/>
    <col min="13587" max="13824" width="9.28515625" style="110"/>
    <col min="13825" max="13825" width="4.42578125" style="110" customWidth="1"/>
    <col min="13826" max="13826" width="20.140625" style="110" customWidth="1"/>
    <col min="13827" max="13827" width="0" style="110" hidden="1" customWidth="1"/>
    <col min="13828" max="13828" width="5.85546875" style="110" customWidth="1"/>
    <col min="13829" max="13829" width="6.140625" style="110" customWidth="1"/>
    <col min="13830" max="13830" width="6.28515625" style="110" customWidth="1"/>
    <col min="13831" max="13831" width="16" style="110" customWidth="1"/>
    <col min="13832" max="13832" width="8.42578125" style="110" customWidth="1"/>
    <col min="13833" max="13833" width="8.7109375" style="110" customWidth="1"/>
    <col min="13834" max="13834" width="9.140625" style="110" customWidth="1"/>
    <col min="13835" max="13837" width="0" style="110" hidden="1" customWidth="1"/>
    <col min="13838" max="13839" width="14.140625" style="110" customWidth="1"/>
    <col min="13840" max="13840" width="14.42578125" style="110" customWidth="1"/>
    <col min="13841" max="13841" width="12.5703125" style="110" customWidth="1"/>
    <col min="13842" max="13842" width="14.28515625" style="110" customWidth="1"/>
    <col min="13843" max="14080" width="9.28515625" style="110"/>
    <col min="14081" max="14081" width="4.42578125" style="110" customWidth="1"/>
    <col min="14082" max="14082" width="20.140625" style="110" customWidth="1"/>
    <col min="14083" max="14083" width="0" style="110" hidden="1" customWidth="1"/>
    <col min="14084" max="14084" width="5.85546875" style="110" customWidth="1"/>
    <col min="14085" max="14085" width="6.140625" style="110" customWidth="1"/>
    <col min="14086" max="14086" width="6.28515625" style="110" customWidth="1"/>
    <col min="14087" max="14087" width="16" style="110" customWidth="1"/>
    <col min="14088" max="14088" width="8.42578125" style="110" customWidth="1"/>
    <col min="14089" max="14089" width="8.7109375" style="110" customWidth="1"/>
    <col min="14090" max="14090" width="9.140625" style="110" customWidth="1"/>
    <col min="14091" max="14093" width="0" style="110" hidden="1" customWidth="1"/>
    <col min="14094" max="14095" width="14.140625" style="110" customWidth="1"/>
    <col min="14096" max="14096" width="14.42578125" style="110" customWidth="1"/>
    <col min="14097" max="14097" width="12.5703125" style="110" customWidth="1"/>
    <col min="14098" max="14098" width="14.28515625" style="110" customWidth="1"/>
    <col min="14099" max="14336" width="9.28515625" style="110"/>
    <col min="14337" max="14337" width="4.42578125" style="110" customWidth="1"/>
    <col min="14338" max="14338" width="20.140625" style="110" customWidth="1"/>
    <col min="14339" max="14339" width="0" style="110" hidden="1" customWidth="1"/>
    <col min="14340" max="14340" width="5.85546875" style="110" customWidth="1"/>
    <col min="14341" max="14341" width="6.140625" style="110" customWidth="1"/>
    <col min="14342" max="14342" width="6.28515625" style="110" customWidth="1"/>
    <col min="14343" max="14343" width="16" style="110" customWidth="1"/>
    <col min="14344" max="14344" width="8.42578125" style="110" customWidth="1"/>
    <col min="14345" max="14345" width="8.7109375" style="110" customWidth="1"/>
    <col min="14346" max="14346" width="9.140625" style="110" customWidth="1"/>
    <col min="14347" max="14349" width="0" style="110" hidden="1" customWidth="1"/>
    <col min="14350" max="14351" width="14.140625" style="110" customWidth="1"/>
    <col min="14352" max="14352" width="14.42578125" style="110" customWidth="1"/>
    <col min="14353" max="14353" width="12.5703125" style="110" customWidth="1"/>
    <col min="14354" max="14354" width="14.28515625" style="110" customWidth="1"/>
    <col min="14355" max="14592" width="9.28515625" style="110"/>
    <col min="14593" max="14593" width="4.42578125" style="110" customWidth="1"/>
    <col min="14594" max="14594" width="20.140625" style="110" customWidth="1"/>
    <col min="14595" max="14595" width="0" style="110" hidden="1" customWidth="1"/>
    <col min="14596" max="14596" width="5.85546875" style="110" customWidth="1"/>
    <col min="14597" max="14597" width="6.140625" style="110" customWidth="1"/>
    <col min="14598" max="14598" width="6.28515625" style="110" customWidth="1"/>
    <col min="14599" max="14599" width="16" style="110" customWidth="1"/>
    <col min="14600" max="14600" width="8.42578125" style="110" customWidth="1"/>
    <col min="14601" max="14601" width="8.7109375" style="110" customWidth="1"/>
    <col min="14602" max="14602" width="9.140625" style="110" customWidth="1"/>
    <col min="14603" max="14605" width="0" style="110" hidden="1" customWidth="1"/>
    <col min="14606" max="14607" width="14.140625" style="110" customWidth="1"/>
    <col min="14608" max="14608" width="14.42578125" style="110" customWidth="1"/>
    <col min="14609" max="14609" width="12.5703125" style="110" customWidth="1"/>
    <col min="14610" max="14610" width="14.28515625" style="110" customWidth="1"/>
    <col min="14611" max="14848" width="9.28515625" style="110"/>
    <col min="14849" max="14849" width="4.42578125" style="110" customWidth="1"/>
    <col min="14850" max="14850" width="20.140625" style="110" customWidth="1"/>
    <col min="14851" max="14851" width="0" style="110" hidden="1" customWidth="1"/>
    <col min="14852" max="14852" width="5.85546875" style="110" customWidth="1"/>
    <col min="14853" max="14853" width="6.140625" style="110" customWidth="1"/>
    <col min="14854" max="14854" width="6.28515625" style="110" customWidth="1"/>
    <col min="14855" max="14855" width="16" style="110" customWidth="1"/>
    <col min="14856" max="14856" width="8.42578125" style="110" customWidth="1"/>
    <col min="14857" max="14857" width="8.7109375" style="110" customWidth="1"/>
    <col min="14858" max="14858" width="9.140625" style="110" customWidth="1"/>
    <col min="14859" max="14861" width="0" style="110" hidden="1" customWidth="1"/>
    <col min="14862" max="14863" width="14.140625" style="110" customWidth="1"/>
    <col min="14864" max="14864" width="14.42578125" style="110" customWidth="1"/>
    <col min="14865" max="14865" width="12.5703125" style="110" customWidth="1"/>
    <col min="14866" max="14866" width="14.28515625" style="110" customWidth="1"/>
    <col min="14867" max="15104" width="9.28515625" style="110"/>
    <col min="15105" max="15105" width="4.42578125" style="110" customWidth="1"/>
    <col min="15106" max="15106" width="20.140625" style="110" customWidth="1"/>
    <col min="15107" max="15107" width="0" style="110" hidden="1" customWidth="1"/>
    <col min="15108" max="15108" width="5.85546875" style="110" customWidth="1"/>
    <col min="15109" max="15109" width="6.140625" style="110" customWidth="1"/>
    <col min="15110" max="15110" width="6.28515625" style="110" customWidth="1"/>
    <col min="15111" max="15111" width="16" style="110" customWidth="1"/>
    <col min="15112" max="15112" width="8.42578125" style="110" customWidth="1"/>
    <col min="15113" max="15113" width="8.7109375" style="110" customWidth="1"/>
    <col min="15114" max="15114" width="9.140625" style="110" customWidth="1"/>
    <col min="15115" max="15117" width="0" style="110" hidden="1" customWidth="1"/>
    <col min="15118" max="15119" width="14.140625" style="110" customWidth="1"/>
    <col min="15120" max="15120" width="14.42578125" style="110" customWidth="1"/>
    <col min="15121" max="15121" width="12.5703125" style="110" customWidth="1"/>
    <col min="15122" max="15122" width="14.28515625" style="110" customWidth="1"/>
    <col min="15123" max="15360" width="9.28515625" style="110"/>
    <col min="15361" max="15361" width="4.42578125" style="110" customWidth="1"/>
    <col min="15362" max="15362" width="20.140625" style="110" customWidth="1"/>
    <col min="15363" max="15363" width="0" style="110" hidden="1" customWidth="1"/>
    <col min="15364" max="15364" width="5.85546875" style="110" customWidth="1"/>
    <col min="15365" max="15365" width="6.140625" style="110" customWidth="1"/>
    <col min="15366" max="15366" width="6.28515625" style="110" customWidth="1"/>
    <col min="15367" max="15367" width="16" style="110" customWidth="1"/>
    <col min="15368" max="15368" width="8.42578125" style="110" customWidth="1"/>
    <col min="15369" max="15369" width="8.7109375" style="110" customWidth="1"/>
    <col min="15370" max="15370" width="9.140625" style="110" customWidth="1"/>
    <col min="15371" max="15373" width="0" style="110" hidden="1" customWidth="1"/>
    <col min="15374" max="15375" width="14.140625" style="110" customWidth="1"/>
    <col min="15376" max="15376" width="14.42578125" style="110" customWidth="1"/>
    <col min="15377" max="15377" width="12.5703125" style="110" customWidth="1"/>
    <col min="15378" max="15378" width="14.28515625" style="110" customWidth="1"/>
    <col min="15379" max="15616" width="9.28515625" style="110"/>
    <col min="15617" max="15617" width="4.42578125" style="110" customWidth="1"/>
    <col min="15618" max="15618" width="20.140625" style="110" customWidth="1"/>
    <col min="15619" max="15619" width="0" style="110" hidden="1" customWidth="1"/>
    <col min="15620" max="15620" width="5.85546875" style="110" customWidth="1"/>
    <col min="15621" max="15621" width="6.140625" style="110" customWidth="1"/>
    <col min="15622" max="15622" width="6.28515625" style="110" customWidth="1"/>
    <col min="15623" max="15623" width="16" style="110" customWidth="1"/>
    <col min="15624" max="15624" width="8.42578125" style="110" customWidth="1"/>
    <col min="15625" max="15625" width="8.7109375" style="110" customWidth="1"/>
    <col min="15626" max="15626" width="9.140625" style="110" customWidth="1"/>
    <col min="15627" max="15629" width="0" style="110" hidden="1" customWidth="1"/>
    <col min="15630" max="15631" width="14.140625" style="110" customWidth="1"/>
    <col min="15632" max="15632" width="14.42578125" style="110" customWidth="1"/>
    <col min="15633" max="15633" width="12.5703125" style="110" customWidth="1"/>
    <col min="15634" max="15634" width="14.28515625" style="110" customWidth="1"/>
    <col min="15635" max="15872" width="9.28515625" style="110"/>
    <col min="15873" max="15873" width="4.42578125" style="110" customWidth="1"/>
    <col min="15874" max="15874" width="20.140625" style="110" customWidth="1"/>
    <col min="15875" max="15875" width="0" style="110" hidden="1" customWidth="1"/>
    <col min="15876" max="15876" width="5.85546875" style="110" customWidth="1"/>
    <col min="15877" max="15877" width="6.140625" style="110" customWidth="1"/>
    <col min="15878" max="15878" width="6.28515625" style="110" customWidth="1"/>
    <col min="15879" max="15879" width="16" style="110" customWidth="1"/>
    <col min="15880" max="15880" width="8.42578125" style="110" customWidth="1"/>
    <col min="15881" max="15881" width="8.7109375" style="110" customWidth="1"/>
    <col min="15882" max="15882" width="9.140625" style="110" customWidth="1"/>
    <col min="15883" max="15885" width="0" style="110" hidden="1" customWidth="1"/>
    <col min="15886" max="15887" width="14.140625" style="110" customWidth="1"/>
    <col min="15888" max="15888" width="14.42578125" style="110" customWidth="1"/>
    <col min="15889" max="15889" width="12.5703125" style="110" customWidth="1"/>
    <col min="15890" max="15890" width="14.28515625" style="110" customWidth="1"/>
    <col min="15891" max="16128" width="9.28515625" style="110"/>
    <col min="16129" max="16129" width="4.42578125" style="110" customWidth="1"/>
    <col min="16130" max="16130" width="20.140625" style="110" customWidth="1"/>
    <col min="16131" max="16131" width="0" style="110" hidden="1" customWidth="1"/>
    <col min="16132" max="16132" width="5.85546875" style="110" customWidth="1"/>
    <col min="16133" max="16133" width="6.140625" style="110" customWidth="1"/>
    <col min="16134" max="16134" width="6.28515625" style="110" customWidth="1"/>
    <col min="16135" max="16135" width="16" style="110" customWidth="1"/>
    <col min="16136" max="16136" width="8.42578125" style="110" customWidth="1"/>
    <col min="16137" max="16137" width="8.7109375" style="110" customWidth="1"/>
    <col min="16138" max="16138" width="9.140625" style="110" customWidth="1"/>
    <col min="16139" max="16141" width="0" style="110" hidden="1" customWidth="1"/>
    <col min="16142" max="16143" width="14.140625" style="110" customWidth="1"/>
    <col min="16144" max="16144" width="14.42578125" style="110" customWidth="1"/>
    <col min="16145" max="16145" width="12.5703125" style="110" customWidth="1"/>
    <col min="16146" max="16146" width="14.28515625" style="110" customWidth="1"/>
    <col min="16147" max="16384" width="9.28515625" style="110"/>
  </cols>
  <sheetData>
    <row r="1" spans="1:18" ht="21.75" customHeight="1">
      <c r="A1" s="314" t="s">
        <v>286</v>
      </c>
      <c r="B1" s="314"/>
      <c r="C1" s="314"/>
      <c r="D1" s="314"/>
      <c r="E1" s="314"/>
      <c r="F1" s="314"/>
      <c r="G1" s="314"/>
      <c r="H1" s="314"/>
      <c r="I1" s="314"/>
      <c r="J1" s="314"/>
      <c r="K1" s="314"/>
      <c r="L1" s="314"/>
      <c r="M1" s="314"/>
      <c r="N1" s="314"/>
      <c r="O1" s="314"/>
      <c r="P1" s="314"/>
      <c r="Q1" s="314"/>
    </row>
    <row r="2" spans="1:18" ht="28.5" customHeight="1">
      <c r="A2" s="315" t="s">
        <v>196</v>
      </c>
      <c r="B2" s="316"/>
      <c r="C2" s="316"/>
      <c r="D2" s="316"/>
      <c r="E2" s="316"/>
      <c r="F2" s="316"/>
      <c r="G2" s="316"/>
      <c r="H2" s="316"/>
      <c r="I2" s="316"/>
      <c r="J2" s="316"/>
      <c r="K2" s="316"/>
      <c r="L2" s="316"/>
      <c r="M2" s="316"/>
      <c r="N2" s="316"/>
      <c r="O2" s="316"/>
      <c r="P2" s="316"/>
      <c r="Q2" s="316"/>
    </row>
    <row r="3" spans="1:18" ht="8.25" customHeight="1">
      <c r="A3" s="163"/>
      <c r="B3" s="164"/>
      <c r="C3" s="164"/>
      <c r="D3" s="164"/>
      <c r="E3" s="164"/>
      <c r="F3" s="164"/>
      <c r="G3" s="164"/>
      <c r="H3" s="164"/>
      <c r="I3" s="164"/>
      <c r="J3" s="164"/>
      <c r="K3" s="164"/>
      <c r="L3" s="164"/>
      <c r="M3" s="164"/>
      <c r="N3" s="164"/>
      <c r="O3" s="164"/>
      <c r="P3" s="164"/>
      <c r="Q3" s="164"/>
    </row>
    <row r="4" spans="1:18" s="111" customFormat="1" ht="16.5" customHeight="1">
      <c r="A4" s="317" t="s">
        <v>172</v>
      </c>
      <c r="B4" s="317"/>
      <c r="C4" s="317"/>
      <c r="D4" s="317"/>
      <c r="E4" s="317"/>
      <c r="F4" s="317"/>
      <c r="G4" s="317"/>
      <c r="H4" s="317"/>
      <c r="I4" s="317"/>
      <c r="J4" s="317"/>
      <c r="K4" s="317"/>
      <c r="L4" s="317"/>
      <c r="M4" s="317"/>
      <c r="N4" s="317"/>
      <c r="O4" s="317"/>
      <c r="P4" s="317"/>
      <c r="Q4" s="317"/>
    </row>
    <row r="5" spans="1:18" ht="2.25" customHeight="1"/>
    <row r="6" spans="1:18" s="119" customFormat="1" ht="26.1" customHeight="1">
      <c r="A6" s="324" t="s">
        <v>129</v>
      </c>
      <c r="B6" s="324" t="s">
        <v>173</v>
      </c>
      <c r="C6" s="343"/>
      <c r="D6" s="345" t="s">
        <v>243</v>
      </c>
      <c r="E6" s="346"/>
      <c r="F6" s="347"/>
      <c r="G6" s="324" t="s">
        <v>175</v>
      </c>
      <c r="H6" s="348" t="s">
        <v>176</v>
      </c>
      <c r="I6" s="349"/>
      <c r="J6" s="349"/>
      <c r="K6" s="349"/>
      <c r="L6" s="349"/>
      <c r="M6" s="350"/>
      <c r="N6" s="348" t="s">
        <v>162</v>
      </c>
      <c r="O6" s="349"/>
      <c r="P6" s="350"/>
      <c r="Q6" s="324" t="s">
        <v>78</v>
      </c>
    </row>
    <row r="7" spans="1:18" s="123" customFormat="1" ht="26.1" customHeight="1">
      <c r="A7" s="325"/>
      <c r="B7" s="325"/>
      <c r="C7" s="344"/>
      <c r="D7" s="165" t="s">
        <v>41</v>
      </c>
      <c r="E7" s="166" t="s">
        <v>177</v>
      </c>
      <c r="F7" s="167" t="s">
        <v>44</v>
      </c>
      <c r="G7" s="325"/>
      <c r="H7" s="168" t="s">
        <v>41</v>
      </c>
      <c r="I7" s="168" t="s">
        <v>177</v>
      </c>
      <c r="J7" s="326" t="s">
        <v>44</v>
      </c>
      <c r="K7" s="327"/>
      <c r="L7" s="327"/>
      <c r="M7" s="328"/>
      <c r="N7" s="168" t="s">
        <v>41</v>
      </c>
      <c r="O7" s="168" t="s">
        <v>177</v>
      </c>
      <c r="P7" s="169" t="s">
        <v>44</v>
      </c>
      <c r="Q7" s="325"/>
      <c r="R7" s="122"/>
    </row>
    <row r="8" spans="1:18" s="123" customFormat="1" ht="26.1" customHeight="1">
      <c r="A8" s="280" t="s">
        <v>130</v>
      </c>
      <c r="B8" s="357" t="s">
        <v>192</v>
      </c>
      <c r="C8" s="358"/>
      <c r="D8" s="358"/>
      <c r="E8" s="358"/>
      <c r="F8" s="358"/>
      <c r="G8" s="358"/>
      <c r="H8" s="358"/>
      <c r="I8" s="358"/>
      <c r="J8" s="358"/>
      <c r="K8" s="213"/>
      <c r="L8" s="213"/>
      <c r="M8" s="213"/>
      <c r="N8" s="214">
        <f>SUM(N9:N10)</f>
        <v>2177000000</v>
      </c>
      <c r="O8" s="214">
        <f>SUM(O9:O10)</f>
        <v>1631500000</v>
      </c>
      <c r="P8" s="214">
        <f>SUM(P9:P10)</f>
        <v>2045000000</v>
      </c>
      <c r="Q8" s="215">
        <f>SUM(Q9:Q10)</f>
        <v>5853500000</v>
      </c>
      <c r="R8" s="122"/>
    </row>
    <row r="9" spans="1:18" s="123" customFormat="1" ht="20.25" customHeight="1">
      <c r="A9" s="172">
        <v>1</v>
      </c>
      <c r="B9" s="173" t="s">
        <v>163</v>
      </c>
      <c r="C9" s="173"/>
      <c r="D9" s="253">
        <v>1081</v>
      </c>
      <c r="E9" s="254">
        <v>1081</v>
      </c>
      <c r="F9" s="255">
        <v>2038</v>
      </c>
      <c r="G9" s="256" t="s">
        <v>179</v>
      </c>
      <c r="H9" s="301">
        <v>2000000</v>
      </c>
      <c r="I9" s="216">
        <f>1500000</f>
        <v>1500000</v>
      </c>
      <c r="J9" s="366">
        <v>1000000</v>
      </c>
      <c r="K9" s="367"/>
      <c r="L9" s="367"/>
      <c r="M9" s="368"/>
      <c r="N9" s="216">
        <f>SUM(D9*H9)</f>
        <v>2162000000</v>
      </c>
      <c r="O9" s="216">
        <f>SUM(E9*I9)</f>
        <v>1621500000</v>
      </c>
      <c r="P9" s="216">
        <f>SUM(F9*J9)</f>
        <v>2038000000</v>
      </c>
      <c r="Q9" s="295">
        <f>SUM(N9:P9)</f>
        <v>5821500000</v>
      </c>
      <c r="R9" s="122"/>
    </row>
    <row r="10" spans="1:18" s="123" customFormat="1" ht="18" customHeight="1">
      <c r="A10" s="258">
        <v>2</v>
      </c>
      <c r="B10" s="259" t="s">
        <v>241</v>
      </c>
      <c r="C10" s="259"/>
      <c r="D10" s="258">
        <v>1</v>
      </c>
      <c r="E10" s="260">
        <v>1</v>
      </c>
      <c r="F10" s="261">
        <v>1</v>
      </c>
      <c r="G10" s="262" t="s">
        <v>179</v>
      </c>
      <c r="H10" s="263">
        <f>15000000</f>
        <v>15000000</v>
      </c>
      <c r="I10" s="263">
        <f>10000000</f>
        <v>10000000</v>
      </c>
      <c r="J10" s="257">
        <f>7000000</f>
        <v>7000000</v>
      </c>
      <c r="K10" s="302"/>
      <c r="L10" s="302"/>
      <c r="M10" s="302"/>
      <c r="N10" s="257">
        <f>15000000</f>
        <v>15000000</v>
      </c>
      <c r="O10" s="257">
        <f>10000000</f>
        <v>10000000</v>
      </c>
      <c r="P10" s="257">
        <f>7000000</f>
        <v>7000000</v>
      </c>
      <c r="Q10" s="295">
        <f>SUM(N10:P10)</f>
        <v>32000000</v>
      </c>
      <c r="R10" s="122"/>
    </row>
    <row r="11" spans="1:18" s="123" customFormat="1" ht="18" customHeight="1">
      <c r="A11" s="280" t="s">
        <v>140</v>
      </c>
      <c r="B11" s="357" t="s">
        <v>193</v>
      </c>
      <c r="C11" s="358"/>
      <c r="D11" s="358"/>
      <c r="E11" s="358"/>
      <c r="F11" s="358"/>
      <c r="G11" s="358"/>
      <c r="H11" s="358"/>
      <c r="I11" s="358"/>
      <c r="J11" s="358"/>
      <c r="K11" s="213"/>
      <c r="L11" s="213"/>
      <c r="M11" s="213"/>
      <c r="N11" s="214">
        <f>SUM(N12+N15)</f>
        <v>387800000</v>
      </c>
      <c r="O11" s="214">
        <f>SUM(O12+O15)</f>
        <v>259500000</v>
      </c>
      <c r="P11" s="214">
        <f>SUM(P12+P15)</f>
        <v>296500000</v>
      </c>
      <c r="Q11" s="217">
        <f>SUM(Q12+Q15)</f>
        <v>943800000</v>
      </c>
      <c r="R11" s="122"/>
    </row>
    <row r="12" spans="1:18" s="123" customFormat="1" ht="26.1" customHeight="1">
      <c r="A12" s="218">
        <v>1</v>
      </c>
      <c r="B12" s="359" t="s">
        <v>194</v>
      </c>
      <c r="C12" s="360"/>
      <c r="D12" s="360"/>
      <c r="E12" s="360"/>
      <c r="F12" s="360"/>
      <c r="G12" s="360"/>
      <c r="H12" s="360"/>
      <c r="I12" s="360"/>
      <c r="J12" s="360"/>
      <c r="K12" s="219"/>
      <c r="L12" s="219"/>
      <c r="M12" s="219"/>
      <c r="N12" s="220">
        <f>SUM(N13:N14)</f>
        <v>262800000</v>
      </c>
      <c r="O12" s="220">
        <f>SUM(O13:O14)</f>
        <v>184000000</v>
      </c>
      <c r="P12" s="220">
        <f>SUM(P13:P14)</f>
        <v>209000000</v>
      </c>
      <c r="Q12" s="264">
        <f>SUM(Q13:Q14)</f>
        <v>655800000</v>
      </c>
      <c r="R12" s="122"/>
    </row>
    <row r="13" spans="1:18" s="123" customFormat="1" ht="21" customHeight="1">
      <c r="A13" s="265">
        <v>1.1000000000000001</v>
      </c>
      <c r="B13" s="173" t="s">
        <v>163</v>
      </c>
      <c r="C13" s="173"/>
      <c r="D13" s="172">
        <v>344</v>
      </c>
      <c r="E13" s="266">
        <v>335</v>
      </c>
      <c r="F13" s="267">
        <v>660</v>
      </c>
      <c r="G13" s="268" t="s">
        <v>179</v>
      </c>
      <c r="H13" s="269">
        <v>700000</v>
      </c>
      <c r="I13" s="270">
        <f>500000</f>
        <v>500000</v>
      </c>
      <c r="J13" s="361">
        <f>300000</f>
        <v>300000</v>
      </c>
      <c r="K13" s="361"/>
      <c r="L13" s="361"/>
      <c r="M13" s="361"/>
      <c r="N13" s="270">
        <f t="shared" ref="N13:P13" si="0">SUM(D13*H13)</f>
        <v>240800000</v>
      </c>
      <c r="O13" s="270">
        <f t="shared" si="0"/>
        <v>167500000</v>
      </c>
      <c r="P13" s="270">
        <f t="shared" si="0"/>
        <v>198000000</v>
      </c>
      <c r="Q13" s="298">
        <f>SUM(N13:P13)</f>
        <v>606300000</v>
      </c>
      <c r="R13" s="122"/>
    </row>
    <row r="14" spans="1:18" s="123" customFormat="1" ht="18" customHeight="1">
      <c r="A14" s="291">
        <v>1.2</v>
      </c>
      <c r="B14" s="135" t="s">
        <v>241</v>
      </c>
      <c r="C14" s="135"/>
      <c r="D14" s="292">
        <v>11</v>
      </c>
      <c r="E14" s="147">
        <v>11</v>
      </c>
      <c r="F14" s="293">
        <v>11</v>
      </c>
      <c r="G14" s="294" t="s">
        <v>179</v>
      </c>
      <c r="H14" s="299">
        <f>2000000</f>
        <v>2000000</v>
      </c>
      <c r="I14" s="136">
        <f>1500000</f>
        <v>1500000</v>
      </c>
      <c r="J14" s="147">
        <f>1000000</f>
        <v>1000000</v>
      </c>
      <c r="K14" s="147"/>
      <c r="L14" s="147"/>
      <c r="M14" s="147"/>
      <c r="N14" s="136">
        <f t="shared" ref="N14" si="1">SUM(D14*H14)</f>
        <v>22000000</v>
      </c>
      <c r="O14" s="136">
        <f t="shared" ref="O14" si="2">SUM(E14*I14)</f>
        <v>16500000</v>
      </c>
      <c r="P14" s="136">
        <f t="shared" ref="P14" si="3">SUM(F14*J14)</f>
        <v>11000000</v>
      </c>
      <c r="Q14" s="300">
        <f>SUM(N14:P14)</f>
        <v>49500000</v>
      </c>
      <c r="R14" s="122"/>
    </row>
    <row r="15" spans="1:18" s="123" customFormat="1" ht="19.5" customHeight="1">
      <c r="A15" s="193">
        <v>2</v>
      </c>
      <c r="B15" s="355" t="s">
        <v>195</v>
      </c>
      <c r="C15" s="356"/>
      <c r="D15" s="356"/>
      <c r="E15" s="356"/>
      <c r="F15" s="356"/>
      <c r="G15" s="356"/>
      <c r="H15" s="356"/>
      <c r="I15" s="356"/>
      <c r="J15" s="356"/>
      <c r="K15" s="221"/>
      <c r="L15" s="221"/>
      <c r="M15" s="221"/>
      <c r="N15" s="194">
        <f>SUM(N16:N17)</f>
        <v>125000000</v>
      </c>
      <c r="O15" s="194">
        <f>SUM(O16:O17)</f>
        <v>75500000</v>
      </c>
      <c r="P15" s="194">
        <f>SUM(P16:P17)</f>
        <v>87500000</v>
      </c>
      <c r="Q15" s="275">
        <f>SUM(Q16:Q17)</f>
        <v>288000000</v>
      </c>
      <c r="R15" s="122"/>
    </row>
    <row r="16" spans="1:18" s="123" customFormat="1" ht="18.75" customHeight="1">
      <c r="A16" s="178">
        <v>2.1</v>
      </c>
      <c r="B16" s="179" t="s">
        <v>163</v>
      </c>
      <c r="C16" s="179"/>
      <c r="D16" s="178">
        <v>235</v>
      </c>
      <c r="E16" s="271">
        <v>235</v>
      </c>
      <c r="F16" s="272">
        <f>420</f>
        <v>420</v>
      </c>
      <c r="G16" s="273" t="s">
        <v>179</v>
      </c>
      <c r="H16" s="276">
        <v>500000</v>
      </c>
      <c r="I16" s="274">
        <f>300000</f>
        <v>300000</v>
      </c>
      <c r="J16" s="362">
        <f>200000</f>
        <v>200000</v>
      </c>
      <c r="K16" s="362"/>
      <c r="L16" s="362"/>
      <c r="M16" s="362"/>
      <c r="N16" s="274">
        <f>SUM(D16*H16)</f>
        <v>117500000</v>
      </c>
      <c r="O16" s="274">
        <f>SUM(E16*I16)</f>
        <v>70500000</v>
      </c>
      <c r="P16" s="274">
        <f>SUM(F16*J16)</f>
        <v>84000000</v>
      </c>
      <c r="Q16" s="278">
        <f>SUM(N16:P16)</f>
        <v>272000000</v>
      </c>
      <c r="R16" s="122"/>
    </row>
    <row r="17" spans="1:18" s="123" customFormat="1" ht="18" customHeight="1">
      <c r="A17" s="178">
        <v>2.2000000000000002</v>
      </c>
      <c r="B17" s="179" t="s">
        <v>241</v>
      </c>
      <c r="C17" s="179"/>
      <c r="D17" s="178">
        <v>5</v>
      </c>
      <c r="E17" s="271">
        <v>5</v>
      </c>
      <c r="F17" s="272">
        <v>5</v>
      </c>
      <c r="G17" s="277" t="s">
        <v>179</v>
      </c>
      <c r="H17" s="276">
        <f>1500000</f>
        <v>1500000</v>
      </c>
      <c r="I17" s="274">
        <f>1000000</f>
        <v>1000000</v>
      </c>
      <c r="J17" s="363">
        <f>700000</f>
        <v>700000</v>
      </c>
      <c r="K17" s="364"/>
      <c r="L17" s="364"/>
      <c r="M17" s="365"/>
      <c r="N17" s="274">
        <f>SUM(D17*H17)</f>
        <v>7500000</v>
      </c>
      <c r="O17" s="274">
        <f t="shared" ref="O17" si="4">SUM(E17*I17)</f>
        <v>5000000</v>
      </c>
      <c r="P17" s="274">
        <f t="shared" ref="P17" si="5">SUM(F17*J17)</f>
        <v>3500000</v>
      </c>
      <c r="Q17" s="279">
        <f>SUM(N17:P17)</f>
        <v>16000000</v>
      </c>
      <c r="R17" s="122"/>
    </row>
    <row r="18" spans="1:18" ht="26.1" customHeight="1">
      <c r="A18" s="151"/>
      <c r="B18" s="352" t="s">
        <v>242</v>
      </c>
      <c r="C18" s="353"/>
      <c r="D18" s="353"/>
      <c r="E18" s="353"/>
      <c r="F18" s="353"/>
      <c r="G18" s="353"/>
      <c r="H18" s="353"/>
      <c r="I18" s="353"/>
      <c r="J18" s="353"/>
      <c r="K18" s="354"/>
      <c r="L18" s="155"/>
      <c r="M18" s="155"/>
      <c r="N18" s="155">
        <f>SUM(N8+N11)</f>
        <v>2564800000</v>
      </c>
      <c r="O18" s="155">
        <f>SUM(O8+O11)</f>
        <v>1891000000</v>
      </c>
      <c r="P18" s="155">
        <f>SUM(P8+P11)</f>
        <v>2341500000</v>
      </c>
      <c r="Q18" s="217">
        <f>SUM(Q8+Q11)</f>
        <v>6797300000</v>
      </c>
      <c r="R18" s="122"/>
    </row>
  </sheetData>
  <mergeCells count="21">
    <mergeCell ref="B8:J8"/>
    <mergeCell ref="J9:M9"/>
    <mergeCell ref="A1:Q1"/>
    <mergeCell ref="A2:Q2"/>
    <mergeCell ref="A4:Q4"/>
    <mergeCell ref="A6:A7"/>
    <mergeCell ref="B6:B7"/>
    <mergeCell ref="C6:C7"/>
    <mergeCell ref="D6:F6"/>
    <mergeCell ref="G6:G7"/>
    <mergeCell ref="H6:M6"/>
    <mergeCell ref="N6:P6"/>
    <mergeCell ref="Q6:Q7"/>
    <mergeCell ref="J7:M7"/>
    <mergeCell ref="B18:K18"/>
    <mergeCell ref="B15:J15"/>
    <mergeCell ref="B11:J11"/>
    <mergeCell ref="B12:J12"/>
    <mergeCell ref="J13:M13"/>
    <mergeCell ref="J16:M16"/>
    <mergeCell ref="J17:M17"/>
  </mergeCells>
  <pageMargins left="0.43307086614173229" right="0.15748031496062992" top="0.39370078740157483" bottom="0.39370078740157483" header="0.19685039370078741" footer="0.19685039370078741"/>
  <pageSetup paperSize="9" orientation="landscape"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E45AD-B839-409F-BFA6-B100F998CA49}">
  <sheetPr>
    <pageSetUpPr fitToPage="1"/>
  </sheetPr>
  <dimension ref="A1:F54"/>
  <sheetViews>
    <sheetView zoomScaleNormal="100" workbookViewId="0">
      <selection activeCell="A2" sqref="A2"/>
    </sheetView>
  </sheetViews>
  <sheetFormatPr defaultRowHeight="15"/>
  <cols>
    <col min="1" max="1" width="6.5703125" customWidth="1"/>
    <col min="2" max="2" width="40.7109375" customWidth="1"/>
  </cols>
  <sheetData>
    <row r="1" spans="1:6" ht="17.25">
      <c r="A1" s="236" t="s">
        <v>287</v>
      </c>
      <c r="B1" s="224"/>
      <c r="C1" s="224"/>
      <c r="D1" s="224"/>
      <c r="E1" s="224"/>
      <c r="F1" s="224"/>
    </row>
    <row r="2" spans="1:6" ht="17.25">
      <c r="A2" s="236" t="s">
        <v>208</v>
      </c>
      <c r="B2" s="224"/>
      <c r="C2" s="224"/>
      <c r="D2" s="224"/>
      <c r="E2" s="224"/>
      <c r="F2" s="224"/>
    </row>
    <row r="3" spans="1:6" ht="17.25">
      <c r="A3" s="236" t="s">
        <v>209</v>
      </c>
      <c r="B3" s="224"/>
      <c r="C3" s="224"/>
      <c r="D3" s="224"/>
      <c r="E3" s="224"/>
      <c r="F3" s="224"/>
    </row>
    <row r="5" spans="1:6" ht="24.75" customHeight="1">
      <c r="A5" s="321" t="s">
        <v>129</v>
      </c>
      <c r="B5" s="321" t="s">
        <v>210</v>
      </c>
      <c r="C5" s="321" t="s">
        <v>211</v>
      </c>
      <c r="D5" s="321"/>
      <c r="E5" s="321"/>
      <c r="F5" s="321" t="s">
        <v>78</v>
      </c>
    </row>
    <row r="6" spans="1:6" ht="24.75" customHeight="1">
      <c r="A6" s="321"/>
      <c r="B6" s="321"/>
      <c r="C6" s="41" t="s">
        <v>41</v>
      </c>
      <c r="D6" s="41" t="s">
        <v>177</v>
      </c>
      <c r="E6" s="41" t="s">
        <v>44</v>
      </c>
      <c r="F6" s="321"/>
    </row>
    <row r="7" spans="1:6" ht="20.25" customHeight="1">
      <c r="A7" s="237" t="s">
        <v>130</v>
      </c>
      <c r="B7" s="372" t="s">
        <v>244</v>
      </c>
      <c r="C7" s="373"/>
      <c r="D7" s="373"/>
      <c r="E7" s="374"/>
      <c r="F7" s="281"/>
    </row>
    <row r="8" spans="1:6" ht="24.75" customHeight="1">
      <c r="A8" s="283">
        <v>1</v>
      </c>
      <c r="B8" s="286" t="s">
        <v>245</v>
      </c>
      <c r="C8" s="288">
        <v>25</v>
      </c>
      <c r="D8" s="288">
        <v>25</v>
      </c>
      <c r="E8" s="288">
        <v>50</v>
      </c>
      <c r="F8" s="288">
        <v>100</v>
      </c>
    </row>
    <row r="9" spans="1:6" ht="24.75" customHeight="1">
      <c r="A9" s="284">
        <v>2</v>
      </c>
      <c r="B9" s="287" t="s">
        <v>246</v>
      </c>
      <c r="C9" s="289">
        <v>16</v>
      </c>
      <c r="D9" s="289">
        <v>16</v>
      </c>
      <c r="E9" s="289">
        <v>32</v>
      </c>
      <c r="F9" s="289">
        <v>64</v>
      </c>
    </row>
    <row r="10" spans="1:6" ht="24.75" customHeight="1">
      <c r="A10" s="284">
        <v>3</v>
      </c>
      <c r="B10" s="287" t="s">
        <v>247</v>
      </c>
      <c r="C10" s="289">
        <v>18</v>
      </c>
      <c r="D10" s="289">
        <v>18</v>
      </c>
      <c r="E10" s="289">
        <v>18</v>
      </c>
      <c r="F10" s="289">
        <v>54</v>
      </c>
    </row>
    <row r="11" spans="1:6" ht="24.75" customHeight="1">
      <c r="A11" s="284">
        <v>4</v>
      </c>
      <c r="B11" s="287" t="s">
        <v>269</v>
      </c>
      <c r="C11" s="289">
        <v>38</v>
      </c>
      <c r="D11" s="289">
        <v>38</v>
      </c>
      <c r="E11" s="289">
        <v>76</v>
      </c>
      <c r="F11" s="289">
        <v>152</v>
      </c>
    </row>
    <row r="12" spans="1:6" ht="24.75" customHeight="1">
      <c r="A12" s="284">
        <v>5</v>
      </c>
      <c r="B12" s="287" t="s">
        <v>248</v>
      </c>
      <c r="C12" s="289">
        <v>14</v>
      </c>
      <c r="D12" s="289">
        <v>14</v>
      </c>
      <c r="E12" s="289">
        <v>28</v>
      </c>
      <c r="F12" s="289">
        <v>56</v>
      </c>
    </row>
    <row r="13" spans="1:6" ht="24.75" customHeight="1">
      <c r="A13" s="284">
        <v>6</v>
      </c>
      <c r="B13" s="287" t="s">
        <v>249</v>
      </c>
      <c r="C13" s="289">
        <v>4</v>
      </c>
      <c r="D13" s="289">
        <v>4</v>
      </c>
      <c r="E13" s="289">
        <v>4</v>
      </c>
      <c r="F13" s="289">
        <v>12</v>
      </c>
    </row>
    <row r="14" spans="1:6" ht="24.75" customHeight="1">
      <c r="A14" s="284">
        <v>7</v>
      </c>
      <c r="B14" s="287" t="s">
        <v>250</v>
      </c>
      <c r="C14" s="289">
        <v>60</v>
      </c>
      <c r="D14" s="289">
        <v>60</v>
      </c>
      <c r="E14" s="289">
        <v>120</v>
      </c>
      <c r="F14" s="289">
        <v>240</v>
      </c>
    </row>
    <row r="15" spans="1:6" ht="24.75" customHeight="1">
      <c r="A15" s="284">
        <v>8</v>
      </c>
      <c r="B15" s="287" t="s">
        <v>251</v>
      </c>
      <c r="C15" s="289">
        <v>42</v>
      </c>
      <c r="D15" s="289">
        <v>42</v>
      </c>
      <c r="E15" s="289">
        <v>84</v>
      </c>
      <c r="F15" s="289">
        <v>168</v>
      </c>
    </row>
    <row r="16" spans="1:6" ht="24.75" customHeight="1">
      <c r="A16" s="284">
        <v>9</v>
      </c>
      <c r="B16" s="287" t="s">
        <v>252</v>
      </c>
      <c r="C16" s="289">
        <v>18</v>
      </c>
      <c r="D16" s="289">
        <v>18</v>
      </c>
      <c r="E16" s="289">
        <v>36</v>
      </c>
      <c r="F16" s="289">
        <v>72</v>
      </c>
    </row>
    <row r="17" spans="1:6" ht="24.75" customHeight="1">
      <c r="A17" s="284">
        <v>10</v>
      </c>
      <c r="B17" s="287" t="s">
        <v>253</v>
      </c>
      <c r="C17" s="289">
        <v>9</v>
      </c>
      <c r="D17" s="289">
        <v>9</v>
      </c>
      <c r="E17" s="289">
        <v>18</v>
      </c>
      <c r="F17" s="289">
        <v>36</v>
      </c>
    </row>
    <row r="18" spans="1:6" ht="24.75" customHeight="1">
      <c r="A18" s="284">
        <v>11</v>
      </c>
      <c r="B18" s="287" t="s">
        <v>254</v>
      </c>
      <c r="C18" s="289">
        <v>180</v>
      </c>
      <c r="D18" s="289">
        <v>180</v>
      </c>
      <c r="E18" s="289">
        <v>360</v>
      </c>
      <c r="F18" s="289">
        <v>720</v>
      </c>
    </row>
    <row r="19" spans="1:6" ht="24.75" customHeight="1">
      <c r="A19" s="284">
        <v>12</v>
      </c>
      <c r="B19" s="287" t="s">
        <v>255</v>
      </c>
      <c r="C19" s="289">
        <v>44</v>
      </c>
      <c r="D19" s="289">
        <v>44</v>
      </c>
      <c r="E19" s="289">
        <v>88</v>
      </c>
      <c r="F19" s="289">
        <v>176</v>
      </c>
    </row>
    <row r="20" spans="1:6" ht="24.75" customHeight="1">
      <c r="A20" s="284">
        <v>13</v>
      </c>
      <c r="B20" s="287" t="s">
        <v>256</v>
      </c>
      <c r="C20" s="289">
        <v>50</v>
      </c>
      <c r="D20" s="289">
        <v>50</v>
      </c>
      <c r="E20" s="289">
        <v>100</v>
      </c>
      <c r="F20" s="289">
        <v>200</v>
      </c>
    </row>
    <row r="21" spans="1:6" ht="24.75" customHeight="1">
      <c r="A21" s="284">
        <v>14</v>
      </c>
      <c r="B21" s="287" t="s">
        <v>257</v>
      </c>
      <c r="C21" s="289">
        <v>20</v>
      </c>
      <c r="D21" s="289">
        <v>20</v>
      </c>
      <c r="E21" s="289">
        <v>20</v>
      </c>
      <c r="F21" s="289">
        <v>60</v>
      </c>
    </row>
    <row r="22" spans="1:6" ht="24.75" customHeight="1">
      <c r="A22" s="284">
        <v>15</v>
      </c>
      <c r="B22" s="287" t="s">
        <v>258</v>
      </c>
      <c r="C22" s="289">
        <v>30</v>
      </c>
      <c r="D22" s="289">
        <v>30</v>
      </c>
      <c r="E22" s="289">
        <v>60</v>
      </c>
      <c r="F22" s="289">
        <v>120</v>
      </c>
    </row>
    <row r="23" spans="1:6" ht="24.75" customHeight="1">
      <c r="A23" s="284">
        <v>16</v>
      </c>
      <c r="B23" s="287" t="s">
        <v>259</v>
      </c>
      <c r="C23" s="289">
        <v>20</v>
      </c>
      <c r="D23" s="289">
        <v>20</v>
      </c>
      <c r="E23" s="289">
        <v>40</v>
      </c>
      <c r="F23" s="289">
        <v>80</v>
      </c>
    </row>
    <row r="24" spans="1:6" ht="24.75" customHeight="1">
      <c r="A24" s="284">
        <v>17</v>
      </c>
      <c r="B24" s="287" t="s">
        <v>260</v>
      </c>
      <c r="C24" s="289">
        <v>40</v>
      </c>
      <c r="D24" s="289">
        <v>40</v>
      </c>
      <c r="E24" s="289">
        <v>80</v>
      </c>
      <c r="F24" s="289">
        <v>160</v>
      </c>
    </row>
    <row r="25" spans="1:6" ht="24.75" customHeight="1">
      <c r="A25" s="284">
        <v>18</v>
      </c>
      <c r="B25" s="287" t="s">
        <v>222</v>
      </c>
      <c r="C25" s="289">
        <v>50</v>
      </c>
      <c r="D25" s="289">
        <v>50</v>
      </c>
      <c r="E25" s="289">
        <v>100</v>
      </c>
      <c r="F25" s="289">
        <v>200</v>
      </c>
    </row>
    <row r="26" spans="1:6" ht="24.75" customHeight="1">
      <c r="A26" s="284">
        <v>19</v>
      </c>
      <c r="B26" s="287" t="s">
        <v>261</v>
      </c>
      <c r="C26" s="289">
        <v>14</v>
      </c>
      <c r="D26" s="289">
        <v>14</v>
      </c>
      <c r="E26" s="289">
        <v>28</v>
      </c>
      <c r="F26" s="289">
        <v>56</v>
      </c>
    </row>
    <row r="27" spans="1:6" ht="24.75" customHeight="1">
      <c r="A27" s="284">
        <v>20</v>
      </c>
      <c r="B27" s="287" t="s">
        <v>262</v>
      </c>
      <c r="C27" s="289">
        <v>20</v>
      </c>
      <c r="D27" s="289">
        <v>20</v>
      </c>
      <c r="E27" s="289">
        <v>40</v>
      </c>
      <c r="F27" s="289">
        <v>80</v>
      </c>
    </row>
    <row r="28" spans="1:6" ht="24.75" customHeight="1">
      <c r="A28" s="284">
        <v>21</v>
      </c>
      <c r="B28" s="287" t="s">
        <v>263</v>
      </c>
      <c r="C28" s="289">
        <v>120</v>
      </c>
      <c r="D28" s="289">
        <v>120</v>
      </c>
      <c r="E28" s="289">
        <v>198</v>
      </c>
      <c r="F28" s="289">
        <v>438</v>
      </c>
    </row>
    <row r="29" spans="1:6" ht="24.75" customHeight="1">
      <c r="A29" s="284">
        <v>22</v>
      </c>
      <c r="B29" s="287" t="s">
        <v>264</v>
      </c>
      <c r="C29" s="289">
        <v>90</v>
      </c>
      <c r="D29" s="289">
        <v>90</v>
      </c>
      <c r="E29" s="289">
        <v>180</v>
      </c>
      <c r="F29" s="289">
        <v>360</v>
      </c>
    </row>
    <row r="30" spans="1:6" ht="24.75" customHeight="1">
      <c r="A30" s="284">
        <v>23</v>
      </c>
      <c r="B30" s="287" t="s">
        <v>265</v>
      </c>
      <c r="C30" s="289">
        <v>20</v>
      </c>
      <c r="D30" s="289">
        <v>20</v>
      </c>
      <c r="E30" s="289">
        <v>40</v>
      </c>
      <c r="F30" s="289">
        <v>80</v>
      </c>
    </row>
    <row r="31" spans="1:6" ht="24.75" customHeight="1">
      <c r="A31" s="284">
        <v>24</v>
      </c>
      <c r="B31" s="287" t="s">
        <v>266</v>
      </c>
      <c r="C31" s="289">
        <v>20</v>
      </c>
      <c r="D31" s="289">
        <v>20</v>
      </c>
      <c r="E31" s="289">
        <v>40</v>
      </c>
      <c r="F31" s="289">
        <v>80</v>
      </c>
    </row>
    <row r="32" spans="1:6" ht="24.75" customHeight="1">
      <c r="A32" s="284">
        <v>25</v>
      </c>
      <c r="B32" s="287" t="s">
        <v>267</v>
      </c>
      <c r="C32" s="289">
        <v>19</v>
      </c>
      <c r="D32" s="289">
        <v>19</v>
      </c>
      <c r="E32" s="289">
        <v>38</v>
      </c>
      <c r="F32" s="289">
        <v>76</v>
      </c>
    </row>
    <row r="33" spans="1:6" ht="24.75" customHeight="1">
      <c r="A33" s="284">
        <v>26</v>
      </c>
      <c r="B33" s="287" t="s">
        <v>268</v>
      </c>
      <c r="C33" s="289">
        <v>100</v>
      </c>
      <c r="D33" s="289">
        <v>100</v>
      </c>
      <c r="E33" s="289">
        <v>160</v>
      </c>
      <c r="F33" s="289">
        <v>360</v>
      </c>
    </row>
    <row r="34" spans="1:6" ht="24.75" customHeight="1">
      <c r="A34" s="375" t="s">
        <v>1</v>
      </c>
      <c r="B34" s="375"/>
      <c r="C34" s="290">
        <f>SUM(C8:C33)</f>
        <v>1081</v>
      </c>
      <c r="D34" s="290">
        <f t="shared" ref="D34:F34" si="0">SUM(D8:D33)</f>
        <v>1081</v>
      </c>
      <c r="E34" s="290">
        <f t="shared" si="0"/>
        <v>2038</v>
      </c>
      <c r="F34" s="290">
        <f t="shared" si="0"/>
        <v>4200</v>
      </c>
    </row>
    <row r="35" spans="1:6" ht="24.75" customHeight="1">
      <c r="A35" s="285" t="s">
        <v>140</v>
      </c>
      <c r="B35" s="370" t="s">
        <v>212</v>
      </c>
      <c r="C35" s="370"/>
      <c r="D35" s="370"/>
      <c r="E35" s="370"/>
      <c r="F35" s="370"/>
    </row>
    <row r="36" spans="1:6" ht="24.75" customHeight="1">
      <c r="A36" s="238">
        <v>1</v>
      </c>
      <c r="B36" s="239" t="s">
        <v>213</v>
      </c>
      <c r="C36" s="238">
        <v>40</v>
      </c>
      <c r="D36" s="238">
        <v>40</v>
      </c>
      <c r="E36" s="238">
        <v>80</v>
      </c>
      <c r="F36" s="241">
        <f>SUM(C36:E36)</f>
        <v>160</v>
      </c>
    </row>
    <row r="37" spans="1:6" ht="24.75" customHeight="1">
      <c r="A37" s="238">
        <v>2</v>
      </c>
      <c r="B37" s="239" t="s">
        <v>214</v>
      </c>
      <c r="C37" s="238">
        <v>15</v>
      </c>
      <c r="D37" s="238">
        <v>15</v>
      </c>
      <c r="E37" s="238">
        <v>30</v>
      </c>
      <c r="F37" s="241">
        <f t="shared" ref="F37:F40" si="1">SUM(C37:E37)</f>
        <v>60</v>
      </c>
    </row>
    <row r="38" spans="1:6" ht="49.5">
      <c r="A38" s="238">
        <v>3</v>
      </c>
      <c r="B38" s="239" t="s">
        <v>215</v>
      </c>
      <c r="C38" s="238">
        <v>100</v>
      </c>
      <c r="D38" s="238">
        <v>100</v>
      </c>
      <c r="E38" s="238">
        <v>150</v>
      </c>
      <c r="F38" s="241">
        <f t="shared" si="1"/>
        <v>350</v>
      </c>
    </row>
    <row r="39" spans="1:6" ht="16.5">
      <c r="A39" s="238">
        <v>4</v>
      </c>
      <c r="B39" s="239" t="s">
        <v>216</v>
      </c>
      <c r="C39" s="238">
        <v>60</v>
      </c>
      <c r="D39" s="238">
        <v>60</v>
      </c>
      <c r="E39" s="238">
        <v>120</v>
      </c>
      <c r="F39" s="241">
        <f t="shared" si="1"/>
        <v>240</v>
      </c>
    </row>
    <row r="40" spans="1:6" ht="24.75" customHeight="1">
      <c r="A40" s="238">
        <v>5</v>
      </c>
      <c r="B40" s="239" t="s">
        <v>270</v>
      </c>
      <c r="C40" s="238">
        <v>20</v>
      </c>
      <c r="D40" s="238">
        <v>20</v>
      </c>
      <c r="E40" s="238">
        <v>40</v>
      </c>
      <c r="F40" s="241">
        <f t="shared" si="1"/>
        <v>80</v>
      </c>
    </row>
    <row r="41" spans="1:6" ht="24.75" customHeight="1">
      <c r="A41" s="371" t="s">
        <v>1</v>
      </c>
      <c r="B41" s="371"/>
      <c r="C41" s="240">
        <f>SUM(C36:C40)</f>
        <v>235</v>
      </c>
      <c r="D41" s="240">
        <f t="shared" ref="D41:E41" si="2">SUM(D36:D40)</f>
        <v>235</v>
      </c>
      <c r="E41" s="240">
        <f t="shared" si="2"/>
        <v>420</v>
      </c>
      <c r="F41" s="240">
        <f>SUM(C41:E41)</f>
        <v>890</v>
      </c>
    </row>
    <row r="42" spans="1:6" ht="24.75" customHeight="1">
      <c r="A42" s="241" t="s">
        <v>140</v>
      </c>
      <c r="B42" s="369" t="s">
        <v>217</v>
      </c>
      <c r="C42" s="369"/>
      <c r="D42" s="369"/>
      <c r="E42" s="369"/>
      <c r="F42" s="369"/>
    </row>
    <row r="43" spans="1:6" ht="36.75" customHeight="1">
      <c r="A43" s="238">
        <v>1</v>
      </c>
      <c r="B43" s="242" t="s">
        <v>218</v>
      </c>
      <c r="C43" s="243">
        <v>25</v>
      </c>
      <c r="D43" s="243">
        <v>25</v>
      </c>
      <c r="E43" s="243">
        <v>50</v>
      </c>
      <c r="F43" s="241">
        <f t="shared" ref="F43:F49" si="3">SUM(C43:E43)</f>
        <v>100</v>
      </c>
    </row>
    <row r="44" spans="1:6" ht="24.75" customHeight="1">
      <c r="A44" s="238">
        <v>2</v>
      </c>
      <c r="B44" s="242" t="s">
        <v>219</v>
      </c>
      <c r="C44" s="243">
        <v>40</v>
      </c>
      <c r="D44" s="243">
        <v>40</v>
      </c>
      <c r="E44" s="243">
        <v>80</v>
      </c>
      <c r="F44" s="241">
        <f t="shared" si="3"/>
        <v>160</v>
      </c>
    </row>
    <row r="45" spans="1:6" ht="24.75" customHeight="1">
      <c r="A45" s="238">
        <v>3</v>
      </c>
      <c r="B45" s="242" t="s">
        <v>220</v>
      </c>
      <c r="C45" s="243">
        <v>30</v>
      </c>
      <c r="D45" s="243">
        <v>30</v>
      </c>
      <c r="E45" s="243">
        <v>60</v>
      </c>
      <c r="F45" s="241">
        <f t="shared" si="3"/>
        <v>120</v>
      </c>
    </row>
    <row r="46" spans="1:6" ht="36" customHeight="1">
      <c r="A46" s="238">
        <v>4</v>
      </c>
      <c r="B46" s="242" t="s">
        <v>221</v>
      </c>
      <c r="C46" s="243">
        <v>40</v>
      </c>
      <c r="D46" s="243">
        <v>40</v>
      </c>
      <c r="E46" s="243">
        <v>80</v>
      </c>
      <c r="F46" s="241">
        <f t="shared" si="3"/>
        <v>160</v>
      </c>
    </row>
    <row r="47" spans="1:6" ht="24.75" customHeight="1">
      <c r="A47" s="238">
        <v>5</v>
      </c>
      <c r="B47" s="242" t="s">
        <v>222</v>
      </c>
      <c r="C47" s="243">
        <v>50</v>
      </c>
      <c r="D47" s="243">
        <v>50</v>
      </c>
      <c r="E47" s="243">
        <v>100</v>
      </c>
      <c r="F47" s="241">
        <f t="shared" si="3"/>
        <v>200</v>
      </c>
    </row>
    <row r="48" spans="1:6" ht="24.75" customHeight="1">
      <c r="A48" s="238">
        <v>6</v>
      </c>
      <c r="B48" s="242" t="s">
        <v>223</v>
      </c>
      <c r="C48" s="243">
        <v>30</v>
      </c>
      <c r="D48" s="243">
        <v>30</v>
      </c>
      <c r="E48" s="243">
        <v>60</v>
      </c>
      <c r="F48" s="241">
        <f t="shared" si="3"/>
        <v>120</v>
      </c>
    </row>
    <row r="49" spans="1:6" ht="24.75" customHeight="1">
      <c r="A49" s="238">
        <v>7</v>
      </c>
      <c r="B49" s="242" t="s">
        <v>224</v>
      </c>
      <c r="C49" s="243">
        <v>20</v>
      </c>
      <c r="D49" s="243">
        <v>20</v>
      </c>
      <c r="E49" s="243">
        <v>40</v>
      </c>
      <c r="F49" s="241">
        <f t="shared" si="3"/>
        <v>80</v>
      </c>
    </row>
    <row r="50" spans="1:6" ht="24.75" customHeight="1">
      <c r="A50" s="238">
        <v>8</v>
      </c>
      <c r="B50" s="242" t="s">
        <v>225</v>
      </c>
      <c r="C50" s="243">
        <v>40</v>
      </c>
      <c r="D50" s="243">
        <v>40</v>
      </c>
      <c r="E50" s="243">
        <v>80</v>
      </c>
      <c r="F50" s="241">
        <f t="shared" ref="F50" si="4">SUM(C50:E50)</f>
        <v>160</v>
      </c>
    </row>
    <row r="51" spans="1:6" ht="24.75" customHeight="1">
      <c r="A51" s="238">
        <v>9</v>
      </c>
      <c r="B51" s="242" t="s">
        <v>238</v>
      </c>
      <c r="C51" s="243">
        <v>29</v>
      </c>
      <c r="D51" s="243">
        <v>20</v>
      </c>
      <c r="E51" s="243">
        <v>40</v>
      </c>
      <c r="F51" s="241">
        <f t="shared" ref="F51:F53" si="5">SUM(C51:E51)</f>
        <v>89</v>
      </c>
    </row>
    <row r="52" spans="1:6" ht="24.75" customHeight="1">
      <c r="A52" s="238">
        <v>10</v>
      </c>
      <c r="B52" s="242" t="s">
        <v>239</v>
      </c>
      <c r="C52" s="243">
        <v>30</v>
      </c>
      <c r="D52" s="243">
        <v>30</v>
      </c>
      <c r="E52" s="243">
        <v>60</v>
      </c>
      <c r="F52" s="241">
        <f t="shared" si="5"/>
        <v>120</v>
      </c>
    </row>
    <row r="53" spans="1:6" ht="24.75" customHeight="1">
      <c r="A53" s="238">
        <v>11</v>
      </c>
      <c r="B53" s="242" t="s">
        <v>240</v>
      </c>
      <c r="C53" s="243">
        <v>10</v>
      </c>
      <c r="D53" s="243">
        <v>10</v>
      </c>
      <c r="E53" s="243">
        <v>10</v>
      </c>
      <c r="F53" s="241">
        <f t="shared" si="5"/>
        <v>30</v>
      </c>
    </row>
    <row r="54" spans="1:6" ht="24.75" customHeight="1">
      <c r="A54" s="243"/>
      <c r="B54" s="243" t="s">
        <v>1</v>
      </c>
      <c r="C54" s="241">
        <f>SUM(C43:C53)</f>
        <v>344</v>
      </c>
      <c r="D54" s="241">
        <f>SUM(D43:D53)</f>
        <v>335</v>
      </c>
      <c r="E54" s="241">
        <f>SUM(E43:E53)</f>
        <v>660</v>
      </c>
      <c r="F54" s="241">
        <f>SUM(F43:F53)</f>
        <v>1339</v>
      </c>
    </row>
  </sheetData>
  <mergeCells count="9">
    <mergeCell ref="B42:F42"/>
    <mergeCell ref="A5:A6"/>
    <mergeCell ref="B5:B6"/>
    <mergeCell ref="C5:E5"/>
    <mergeCell ref="F5:F6"/>
    <mergeCell ref="B35:F35"/>
    <mergeCell ref="A41:B41"/>
    <mergeCell ref="B7:E7"/>
    <mergeCell ref="A34:B34"/>
  </mergeCells>
  <pageMargins left="0.7" right="0.7" top="0.75" bottom="0.75" header="0.3" footer="0.3"/>
  <pageSetup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9F78D-AB7C-493F-B79F-80EA77D84C28}">
  <dimension ref="A1:R21"/>
  <sheetViews>
    <sheetView zoomScale="115" zoomScaleNormal="115" workbookViewId="0">
      <selection activeCell="H5" sqref="H5:M5"/>
    </sheetView>
  </sheetViews>
  <sheetFormatPr defaultColWidth="9.28515625" defaultRowHeight="21.75" customHeight="1"/>
  <cols>
    <col min="1" max="1" width="4.42578125" style="112" customWidth="1"/>
    <col min="2" max="2" width="21.42578125" style="110" customWidth="1"/>
    <col min="3" max="3" width="6.42578125" style="110" hidden="1" customWidth="1"/>
    <col min="4" max="4" width="6.42578125" style="110" customWidth="1"/>
    <col min="5" max="5" width="6.7109375" style="113" customWidth="1"/>
    <col min="6" max="6" width="6.85546875" style="113" customWidth="1"/>
    <col min="7" max="7" width="16.5703125" style="110" customWidth="1"/>
    <col min="8" max="8" width="10.85546875" style="110" customWidth="1"/>
    <col min="9" max="10" width="10" style="110" customWidth="1"/>
    <col min="11" max="11" width="0.140625" style="110" hidden="1" customWidth="1"/>
    <col min="12" max="12" width="1.28515625" style="110" hidden="1" customWidth="1"/>
    <col min="13" max="13" width="0.42578125" style="110" hidden="1" customWidth="1"/>
    <col min="14" max="14" width="12.140625" style="110" customWidth="1"/>
    <col min="15" max="15" width="11.85546875" style="110" customWidth="1"/>
    <col min="16" max="16" width="12" style="110" customWidth="1"/>
    <col min="17" max="17" width="12.140625" style="110" customWidth="1"/>
    <col min="18" max="18" width="14.28515625" style="110" customWidth="1"/>
    <col min="19" max="256" width="9.28515625" style="110"/>
    <col min="257" max="257" width="4.42578125" style="110" customWidth="1"/>
    <col min="258" max="258" width="21.42578125" style="110" customWidth="1"/>
    <col min="259" max="259" width="0" style="110" hidden="1" customWidth="1"/>
    <col min="260" max="260" width="6.42578125" style="110" customWidth="1"/>
    <col min="261" max="261" width="6.7109375" style="110" customWidth="1"/>
    <col min="262" max="262" width="6.85546875" style="110" customWidth="1"/>
    <col min="263" max="263" width="16.5703125" style="110" customWidth="1"/>
    <col min="264" max="264" width="10.85546875" style="110" customWidth="1"/>
    <col min="265" max="266" width="10" style="110" customWidth="1"/>
    <col min="267" max="269" width="0" style="110" hidden="1" customWidth="1"/>
    <col min="270" max="270" width="12.140625" style="110" customWidth="1"/>
    <col min="271" max="271" width="11.85546875" style="110" customWidth="1"/>
    <col min="272" max="272" width="12" style="110" customWidth="1"/>
    <col min="273" max="273" width="12.140625" style="110" customWidth="1"/>
    <col min="274" max="274" width="14.28515625" style="110" customWidth="1"/>
    <col min="275" max="512" width="9.28515625" style="110"/>
    <col min="513" max="513" width="4.42578125" style="110" customWidth="1"/>
    <col min="514" max="514" width="21.42578125" style="110" customWidth="1"/>
    <col min="515" max="515" width="0" style="110" hidden="1" customWidth="1"/>
    <col min="516" max="516" width="6.42578125" style="110" customWidth="1"/>
    <col min="517" max="517" width="6.7109375" style="110" customWidth="1"/>
    <col min="518" max="518" width="6.85546875" style="110" customWidth="1"/>
    <col min="519" max="519" width="16.5703125" style="110" customWidth="1"/>
    <col min="520" max="520" width="10.85546875" style="110" customWidth="1"/>
    <col min="521" max="522" width="10" style="110" customWidth="1"/>
    <col min="523" max="525" width="0" style="110" hidden="1" customWidth="1"/>
    <col min="526" max="526" width="12.140625" style="110" customWidth="1"/>
    <col min="527" max="527" width="11.85546875" style="110" customWidth="1"/>
    <col min="528" max="528" width="12" style="110" customWidth="1"/>
    <col min="529" max="529" width="12.140625" style="110" customWidth="1"/>
    <col min="530" max="530" width="14.28515625" style="110" customWidth="1"/>
    <col min="531" max="768" width="9.28515625" style="110"/>
    <col min="769" max="769" width="4.42578125" style="110" customWidth="1"/>
    <col min="770" max="770" width="21.42578125" style="110" customWidth="1"/>
    <col min="771" max="771" width="0" style="110" hidden="1" customWidth="1"/>
    <col min="772" max="772" width="6.42578125" style="110" customWidth="1"/>
    <col min="773" max="773" width="6.7109375" style="110" customWidth="1"/>
    <col min="774" max="774" width="6.85546875" style="110" customWidth="1"/>
    <col min="775" max="775" width="16.5703125" style="110" customWidth="1"/>
    <col min="776" max="776" width="10.85546875" style="110" customWidth="1"/>
    <col min="777" max="778" width="10" style="110" customWidth="1"/>
    <col min="779" max="781" width="0" style="110" hidden="1" customWidth="1"/>
    <col min="782" max="782" width="12.140625" style="110" customWidth="1"/>
    <col min="783" max="783" width="11.85546875" style="110" customWidth="1"/>
    <col min="784" max="784" width="12" style="110" customWidth="1"/>
    <col min="785" max="785" width="12.140625" style="110" customWidth="1"/>
    <col min="786" max="786" width="14.28515625" style="110" customWidth="1"/>
    <col min="787" max="1024" width="9.28515625" style="110"/>
    <col min="1025" max="1025" width="4.42578125" style="110" customWidth="1"/>
    <col min="1026" max="1026" width="21.42578125" style="110" customWidth="1"/>
    <col min="1027" max="1027" width="0" style="110" hidden="1" customWidth="1"/>
    <col min="1028" max="1028" width="6.42578125" style="110" customWidth="1"/>
    <col min="1029" max="1029" width="6.7109375" style="110" customWidth="1"/>
    <col min="1030" max="1030" width="6.85546875" style="110" customWidth="1"/>
    <col min="1031" max="1031" width="16.5703125" style="110" customWidth="1"/>
    <col min="1032" max="1032" width="10.85546875" style="110" customWidth="1"/>
    <col min="1033" max="1034" width="10" style="110" customWidth="1"/>
    <col min="1035" max="1037" width="0" style="110" hidden="1" customWidth="1"/>
    <col min="1038" max="1038" width="12.140625" style="110" customWidth="1"/>
    <col min="1039" max="1039" width="11.85546875" style="110" customWidth="1"/>
    <col min="1040" max="1040" width="12" style="110" customWidth="1"/>
    <col min="1041" max="1041" width="12.140625" style="110" customWidth="1"/>
    <col min="1042" max="1042" width="14.28515625" style="110" customWidth="1"/>
    <col min="1043" max="1280" width="9.28515625" style="110"/>
    <col min="1281" max="1281" width="4.42578125" style="110" customWidth="1"/>
    <col min="1282" max="1282" width="21.42578125" style="110" customWidth="1"/>
    <col min="1283" max="1283" width="0" style="110" hidden="1" customWidth="1"/>
    <col min="1284" max="1284" width="6.42578125" style="110" customWidth="1"/>
    <col min="1285" max="1285" width="6.7109375" style="110" customWidth="1"/>
    <col min="1286" max="1286" width="6.85546875" style="110" customWidth="1"/>
    <col min="1287" max="1287" width="16.5703125" style="110" customWidth="1"/>
    <col min="1288" max="1288" width="10.85546875" style="110" customWidth="1"/>
    <col min="1289" max="1290" width="10" style="110" customWidth="1"/>
    <col min="1291" max="1293" width="0" style="110" hidden="1" customWidth="1"/>
    <col min="1294" max="1294" width="12.140625" style="110" customWidth="1"/>
    <col min="1295" max="1295" width="11.85546875" style="110" customWidth="1"/>
    <col min="1296" max="1296" width="12" style="110" customWidth="1"/>
    <col min="1297" max="1297" width="12.140625" style="110" customWidth="1"/>
    <col min="1298" max="1298" width="14.28515625" style="110" customWidth="1"/>
    <col min="1299" max="1536" width="9.28515625" style="110"/>
    <col min="1537" max="1537" width="4.42578125" style="110" customWidth="1"/>
    <col min="1538" max="1538" width="21.42578125" style="110" customWidth="1"/>
    <col min="1539" max="1539" width="0" style="110" hidden="1" customWidth="1"/>
    <col min="1540" max="1540" width="6.42578125" style="110" customWidth="1"/>
    <col min="1541" max="1541" width="6.7109375" style="110" customWidth="1"/>
    <col min="1542" max="1542" width="6.85546875" style="110" customWidth="1"/>
    <col min="1543" max="1543" width="16.5703125" style="110" customWidth="1"/>
    <col min="1544" max="1544" width="10.85546875" style="110" customWidth="1"/>
    <col min="1545" max="1546" width="10" style="110" customWidth="1"/>
    <col min="1547" max="1549" width="0" style="110" hidden="1" customWidth="1"/>
    <col min="1550" max="1550" width="12.140625" style="110" customWidth="1"/>
    <col min="1551" max="1551" width="11.85546875" style="110" customWidth="1"/>
    <col min="1552" max="1552" width="12" style="110" customWidth="1"/>
    <col min="1553" max="1553" width="12.140625" style="110" customWidth="1"/>
    <col min="1554" max="1554" width="14.28515625" style="110" customWidth="1"/>
    <col min="1555" max="1792" width="9.28515625" style="110"/>
    <col min="1793" max="1793" width="4.42578125" style="110" customWidth="1"/>
    <col min="1794" max="1794" width="21.42578125" style="110" customWidth="1"/>
    <col min="1795" max="1795" width="0" style="110" hidden="1" customWidth="1"/>
    <col min="1796" max="1796" width="6.42578125" style="110" customWidth="1"/>
    <col min="1797" max="1797" width="6.7109375" style="110" customWidth="1"/>
    <col min="1798" max="1798" width="6.85546875" style="110" customWidth="1"/>
    <col min="1799" max="1799" width="16.5703125" style="110" customWidth="1"/>
    <col min="1800" max="1800" width="10.85546875" style="110" customWidth="1"/>
    <col min="1801" max="1802" width="10" style="110" customWidth="1"/>
    <col min="1803" max="1805" width="0" style="110" hidden="1" customWidth="1"/>
    <col min="1806" max="1806" width="12.140625" style="110" customWidth="1"/>
    <col min="1807" max="1807" width="11.85546875" style="110" customWidth="1"/>
    <col min="1808" max="1808" width="12" style="110" customWidth="1"/>
    <col min="1809" max="1809" width="12.140625" style="110" customWidth="1"/>
    <col min="1810" max="1810" width="14.28515625" style="110" customWidth="1"/>
    <col min="1811" max="2048" width="9.28515625" style="110"/>
    <col min="2049" max="2049" width="4.42578125" style="110" customWidth="1"/>
    <col min="2050" max="2050" width="21.42578125" style="110" customWidth="1"/>
    <col min="2051" max="2051" width="0" style="110" hidden="1" customWidth="1"/>
    <col min="2052" max="2052" width="6.42578125" style="110" customWidth="1"/>
    <col min="2053" max="2053" width="6.7109375" style="110" customWidth="1"/>
    <col min="2054" max="2054" width="6.85546875" style="110" customWidth="1"/>
    <col min="2055" max="2055" width="16.5703125" style="110" customWidth="1"/>
    <col min="2056" max="2056" width="10.85546875" style="110" customWidth="1"/>
    <col min="2057" max="2058" width="10" style="110" customWidth="1"/>
    <col min="2059" max="2061" width="0" style="110" hidden="1" customWidth="1"/>
    <col min="2062" max="2062" width="12.140625" style="110" customWidth="1"/>
    <col min="2063" max="2063" width="11.85546875" style="110" customWidth="1"/>
    <col min="2064" max="2064" width="12" style="110" customWidth="1"/>
    <col min="2065" max="2065" width="12.140625" style="110" customWidth="1"/>
    <col min="2066" max="2066" width="14.28515625" style="110" customWidth="1"/>
    <col min="2067" max="2304" width="9.28515625" style="110"/>
    <col min="2305" max="2305" width="4.42578125" style="110" customWidth="1"/>
    <col min="2306" max="2306" width="21.42578125" style="110" customWidth="1"/>
    <col min="2307" max="2307" width="0" style="110" hidden="1" customWidth="1"/>
    <col min="2308" max="2308" width="6.42578125" style="110" customWidth="1"/>
    <col min="2309" max="2309" width="6.7109375" style="110" customWidth="1"/>
    <col min="2310" max="2310" width="6.85546875" style="110" customWidth="1"/>
    <col min="2311" max="2311" width="16.5703125" style="110" customWidth="1"/>
    <col min="2312" max="2312" width="10.85546875" style="110" customWidth="1"/>
    <col min="2313" max="2314" width="10" style="110" customWidth="1"/>
    <col min="2315" max="2317" width="0" style="110" hidden="1" customWidth="1"/>
    <col min="2318" max="2318" width="12.140625" style="110" customWidth="1"/>
    <col min="2319" max="2319" width="11.85546875" style="110" customWidth="1"/>
    <col min="2320" max="2320" width="12" style="110" customWidth="1"/>
    <col min="2321" max="2321" width="12.140625" style="110" customWidth="1"/>
    <col min="2322" max="2322" width="14.28515625" style="110" customWidth="1"/>
    <col min="2323" max="2560" width="9.28515625" style="110"/>
    <col min="2561" max="2561" width="4.42578125" style="110" customWidth="1"/>
    <col min="2562" max="2562" width="21.42578125" style="110" customWidth="1"/>
    <col min="2563" max="2563" width="0" style="110" hidden="1" customWidth="1"/>
    <col min="2564" max="2564" width="6.42578125" style="110" customWidth="1"/>
    <col min="2565" max="2565" width="6.7109375" style="110" customWidth="1"/>
    <col min="2566" max="2566" width="6.85546875" style="110" customWidth="1"/>
    <col min="2567" max="2567" width="16.5703125" style="110" customWidth="1"/>
    <col min="2568" max="2568" width="10.85546875" style="110" customWidth="1"/>
    <col min="2569" max="2570" width="10" style="110" customWidth="1"/>
    <col min="2571" max="2573" width="0" style="110" hidden="1" customWidth="1"/>
    <col min="2574" max="2574" width="12.140625" style="110" customWidth="1"/>
    <col min="2575" max="2575" width="11.85546875" style="110" customWidth="1"/>
    <col min="2576" max="2576" width="12" style="110" customWidth="1"/>
    <col min="2577" max="2577" width="12.140625" style="110" customWidth="1"/>
    <col min="2578" max="2578" width="14.28515625" style="110" customWidth="1"/>
    <col min="2579" max="2816" width="9.28515625" style="110"/>
    <col min="2817" max="2817" width="4.42578125" style="110" customWidth="1"/>
    <col min="2818" max="2818" width="21.42578125" style="110" customWidth="1"/>
    <col min="2819" max="2819" width="0" style="110" hidden="1" customWidth="1"/>
    <col min="2820" max="2820" width="6.42578125" style="110" customWidth="1"/>
    <col min="2821" max="2821" width="6.7109375" style="110" customWidth="1"/>
    <col min="2822" max="2822" width="6.85546875" style="110" customWidth="1"/>
    <col min="2823" max="2823" width="16.5703125" style="110" customWidth="1"/>
    <col min="2824" max="2824" width="10.85546875" style="110" customWidth="1"/>
    <col min="2825" max="2826" width="10" style="110" customWidth="1"/>
    <col min="2827" max="2829" width="0" style="110" hidden="1" customWidth="1"/>
    <col min="2830" max="2830" width="12.140625" style="110" customWidth="1"/>
    <col min="2831" max="2831" width="11.85546875" style="110" customWidth="1"/>
    <col min="2832" max="2832" width="12" style="110" customWidth="1"/>
    <col min="2833" max="2833" width="12.140625" style="110" customWidth="1"/>
    <col min="2834" max="2834" width="14.28515625" style="110" customWidth="1"/>
    <col min="2835" max="3072" width="9.28515625" style="110"/>
    <col min="3073" max="3073" width="4.42578125" style="110" customWidth="1"/>
    <col min="3074" max="3074" width="21.42578125" style="110" customWidth="1"/>
    <col min="3075" max="3075" width="0" style="110" hidden="1" customWidth="1"/>
    <col min="3076" max="3076" width="6.42578125" style="110" customWidth="1"/>
    <col min="3077" max="3077" width="6.7109375" style="110" customWidth="1"/>
    <col min="3078" max="3078" width="6.85546875" style="110" customWidth="1"/>
    <col min="3079" max="3079" width="16.5703125" style="110" customWidth="1"/>
    <col min="3080" max="3080" width="10.85546875" style="110" customWidth="1"/>
    <col min="3081" max="3082" width="10" style="110" customWidth="1"/>
    <col min="3083" max="3085" width="0" style="110" hidden="1" customWidth="1"/>
    <col min="3086" max="3086" width="12.140625" style="110" customWidth="1"/>
    <col min="3087" max="3087" width="11.85546875" style="110" customWidth="1"/>
    <col min="3088" max="3088" width="12" style="110" customWidth="1"/>
    <col min="3089" max="3089" width="12.140625" style="110" customWidth="1"/>
    <col min="3090" max="3090" width="14.28515625" style="110" customWidth="1"/>
    <col min="3091" max="3328" width="9.28515625" style="110"/>
    <col min="3329" max="3329" width="4.42578125" style="110" customWidth="1"/>
    <col min="3330" max="3330" width="21.42578125" style="110" customWidth="1"/>
    <col min="3331" max="3331" width="0" style="110" hidden="1" customWidth="1"/>
    <col min="3332" max="3332" width="6.42578125" style="110" customWidth="1"/>
    <col min="3333" max="3333" width="6.7109375" style="110" customWidth="1"/>
    <col min="3334" max="3334" width="6.85546875" style="110" customWidth="1"/>
    <col min="3335" max="3335" width="16.5703125" style="110" customWidth="1"/>
    <col min="3336" max="3336" width="10.85546875" style="110" customWidth="1"/>
    <col min="3337" max="3338" width="10" style="110" customWidth="1"/>
    <col min="3339" max="3341" width="0" style="110" hidden="1" customWidth="1"/>
    <col min="3342" max="3342" width="12.140625" style="110" customWidth="1"/>
    <col min="3343" max="3343" width="11.85546875" style="110" customWidth="1"/>
    <col min="3344" max="3344" width="12" style="110" customWidth="1"/>
    <col min="3345" max="3345" width="12.140625" style="110" customWidth="1"/>
    <col min="3346" max="3346" width="14.28515625" style="110" customWidth="1"/>
    <col min="3347" max="3584" width="9.28515625" style="110"/>
    <col min="3585" max="3585" width="4.42578125" style="110" customWidth="1"/>
    <col min="3586" max="3586" width="21.42578125" style="110" customWidth="1"/>
    <col min="3587" max="3587" width="0" style="110" hidden="1" customWidth="1"/>
    <col min="3588" max="3588" width="6.42578125" style="110" customWidth="1"/>
    <col min="3589" max="3589" width="6.7109375" style="110" customWidth="1"/>
    <col min="3590" max="3590" width="6.85546875" style="110" customWidth="1"/>
    <col min="3591" max="3591" width="16.5703125" style="110" customWidth="1"/>
    <col min="3592" max="3592" width="10.85546875" style="110" customWidth="1"/>
    <col min="3593" max="3594" width="10" style="110" customWidth="1"/>
    <col min="3595" max="3597" width="0" style="110" hidden="1" customWidth="1"/>
    <col min="3598" max="3598" width="12.140625" style="110" customWidth="1"/>
    <col min="3599" max="3599" width="11.85546875" style="110" customWidth="1"/>
    <col min="3600" max="3600" width="12" style="110" customWidth="1"/>
    <col min="3601" max="3601" width="12.140625" style="110" customWidth="1"/>
    <col min="3602" max="3602" width="14.28515625" style="110" customWidth="1"/>
    <col min="3603" max="3840" width="9.28515625" style="110"/>
    <col min="3841" max="3841" width="4.42578125" style="110" customWidth="1"/>
    <col min="3842" max="3842" width="21.42578125" style="110" customWidth="1"/>
    <col min="3843" max="3843" width="0" style="110" hidden="1" customWidth="1"/>
    <col min="3844" max="3844" width="6.42578125" style="110" customWidth="1"/>
    <col min="3845" max="3845" width="6.7109375" style="110" customWidth="1"/>
    <col min="3846" max="3846" width="6.85546875" style="110" customWidth="1"/>
    <col min="3847" max="3847" width="16.5703125" style="110" customWidth="1"/>
    <col min="3848" max="3848" width="10.85546875" style="110" customWidth="1"/>
    <col min="3849" max="3850" width="10" style="110" customWidth="1"/>
    <col min="3851" max="3853" width="0" style="110" hidden="1" customWidth="1"/>
    <col min="3854" max="3854" width="12.140625" style="110" customWidth="1"/>
    <col min="3855" max="3855" width="11.85546875" style="110" customWidth="1"/>
    <col min="3856" max="3856" width="12" style="110" customWidth="1"/>
    <col min="3857" max="3857" width="12.140625" style="110" customWidth="1"/>
    <col min="3858" max="3858" width="14.28515625" style="110" customWidth="1"/>
    <col min="3859" max="4096" width="9.28515625" style="110"/>
    <col min="4097" max="4097" width="4.42578125" style="110" customWidth="1"/>
    <col min="4098" max="4098" width="21.42578125" style="110" customWidth="1"/>
    <col min="4099" max="4099" width="0" style="110" hidden="1" customWidth="1"/>
    <col min="4100" max="4100" width="6.42578125" style="110" customWidth="1"/>
    <col min="4101" max="4101" width="6.7109375" style="110" customWidth="1"/>
    <col min="4102" max="4102" width="6.85546875" style="110" customWidth="1"/>
    <col min="4103" max="4103" width="16.5703125" style="110" customWidth="1"/>
    <col min="4104" max="4104" width="10.85546875" style="110" customWidth="1"/>
    <col min="4105" max="4106" width="10" style="110" customWidth="1"/>
    <col min="4107" max="4109" width="0" style="110" hidden="1" customWidth="1"/>
    <col min="4110" max="4110" width="12.140625" style="110" customWidth="1"/>
    <col min="4111" max="4111" width="11.85546875" style="110" customWidth="1"/>
    <col min="4112" max="4112" width="12" style="110" customWidth="1"/>
    <col min="4113" max="4113" width="12.140625" style="110" customWidth="1"/>
    <col min="4114" max="4114" width="14.28515625" style="110" customWidth="1"/>
    <col min="4115" max="4352" width="9.28515625" style="110"/>
    <col min="4353" max="4353" width="4.42578125" style="110" customWidth="1"/>
    <col min="4354" max="4354" width="21.42578125" style="110" customWidth="1"/>
    <col min="4355" max="4355" width="0" style="110" hidden="1" customWidth="1"/>
    <col min="4356" max="4356" width="6.42578125" style="110" customWidth="1"/>
    <col min="4357" max="4357" width="6.7109375" style="110" customWidth="1"/>
    <col min="4358" max="4358" width="6.85546875" style="110" customWidth="1"/>
    <col min="4359" max="4359" width="16.5703125" style="110" customWidth="1"/>
    <col min="4360" max="4360" width="10.85546875" style="110" customWidth="1"/>
    <col min="4361" max="4362" width="10" style="110" customWidth="1"/>
    <col min="4363" max="4365" width="0" style="110" hidden="1" customWidth="1"/>
    <col min="4366" max="4366" width="12.140625" style="110" customWidth="1"/>
    <col min="4367" max="4367" width="11.85546875" style="110" customWidth="1"/>
    <col min="4368" max="4368" width="12" style="110" customWidth="1"/>
    <col min="4369" max="4369" width="12.140625" style="110" customWidth="1"/>
    <col min="4370" max="4370" width="14.28515625" style="110" customWidth="1"/>
    <col min="4371" max="4608" width="9.28515625" style="110"/>
    <col min="4609" max="4609" width="4.42578125" style="110" customWidth="1"/>
    <col min="4610" max="4610" width="21.42578125" style="110" customWidth="1"/>
    <col min="4611" max="4611" width="0" style="110" hidden="1" customWidth="1"/>
    <col min="4612" max="4612" width="6.42578125" style="110" customWidth="1"/>
    <col min="4613" max="4613" width="6.7109375" style="110" customWidth="1"/>
    <col min="4614" max="4614" width="6.85546875" style="110" customWidth="1"/>
    <col min="4615" max="4615" width="16.5703125" style="110" customWidth="1"/>
    <col min="4616" max="4616" width="10.85546875" style="110" customWidth="1"/>
    <col min="4617" max="4618" width="10" style="110" customWidth="1"/>
    <col min="4619" max="4621" width="0" style="110" hidden="1" customWidth="1"/>
    <col min="4622" max="4622" width="12.140625" style="110" customWidth="1"/>
    <col min="4623" max="4623" width="11.85546875" style="110" customWidth="1"/>
    <col min="4624" max="4624" width="12" style="110" customWidth="1"/>
    <col min="4625" max="4625" width="12.140625" style="110" customWidth="1"/>
    <col min="4626" max="4626" width="14.28515625" style="110" customWidth="1"/>
    <col min="4627" max="4864" width="9.28515625" style="110"/>
    <col min="4865" max="4865" width="4.42578125" style="110" customWidth="1"/>
    <col min="4866" max="4866" width="21.42578125" style="110" customWidth="1"/>
    <col min="4867" max="4867" width="0" style="110" hidden="1" customWidth="1"/>
    <col min="4868" max="4868" width="6.42578125" style="110" customWidth="1"/>
    <col min="4869" max="4869" width="6.7109375" style="110" customWidth="1"/>
    <col min="4870" max="4870" width="6.85546875" style="110" customWidth="1"/>
    <col min="4871" max="4871" width="16.5703125" style="110" customWidth="1"/>
    <col min="4872" max="4872" width="10.85546875" style="110" customWidth="1"/>
    <col min="4873" max="4874" width="10" style="110" customWidth="1"/>
    <col min="4875" max="4877" width="0" style="110" hidden="1" customWidth="1"/>
    <col min="4878" max="4878" width="12.140625" style="110" customWidth="1"/>
    <col min="4879" max="4879" width="11.85546875" style="110" customWidth="1"/>
    <col min="4880" max="4880" width="12" style="110" customWidth="1"/>
    <col min="4881" max="4881" width="12.140625" style="110" customWidth="1"/>
    <col min="4882" max="4882" width="14.28515625" style="110" customWidth="1"/>
    <col min="4883" max="5120" width="9.28515625" style="110"/>
    <col min="5121" max="5121" width="4.42578125" style="110" customWidth="1"/>
    <col min="5122" max="5122" width="21.42578125" style="110" customWidth="1"/>
    <col min="5123" max="5123" width="0" style="110" hidden="1" customWidth="1"/>
    <col min="5124" max="5124" width="6.42578125" style="110" customWidth="1"/>
    <col min="5125" max="5125" width="6.7109375" style="110" customWidth="1"/>
    <col min="5126" max="5126" width="6.85546875" style="110" customWidth="1"/>
    <col min="5127" max="5127" width="16.5703125" style="110" customWidth="1"/>
    <col min="5128" max="5128" width="10.85546875" style="110" customWidth="1"/>
    <col min="5129" max="5130" width="10" style="110" customWidth="1"/>
    <col min="5131" max="5133" width="0" style="110" hidden="1" customWidth="1"/>
    <col min="5134" max="5134" width="12.140625" style="110" customWidth="1"/>
    <col min="5135" max="5135" width="11.85546875" style="110" customWidth="1"/>
    <col min="5136" max="5136" width="12" style="110" customWidth="1"/>
    <col min="5137" max="5137" width="12.140625" style="110" customWidth="1"/>
    <col min="5138" max="5138" width="14.28515625" style="110" customWidth="1"/>
    <col min="5139" max="5376" width="9.28515625" style="110"/>
    <col min="5377" max="5377" width="4.42578125" style="110" customWidth="1"/>
    <col min="5378" max="5378" width="21.42578125" style="110" customWidth="1"/>
    <col min="5379" max="5379" width="0" style="110" hidden="1" customWidth="1"/>
    <col min="5380" max="5380" width="6.42578125" style="110" customWidth="1"/>
    <col min="5381" max="5381" width="6.7109375" style="110" customWidth="1"/>
    <col min="5382" max="5382" width="6.85546875" style="110" customWidth="1"/>
    <col min="5383" max="5383" width="16.5703125" style="110" customWidth="1"/>
    <col min="5384" max="5384" width="10.85546875" style="110" customWidth="1"/>
    <col min="5385" max="5386" width="10" style="110" customWidth="1"/>
    <col min="5387" max="5389" width="0" style="110" hidden="1" customWidth="1"/>
    <col min="5390" max="5390" width="12.140625" style="110" customWidth="1"/>
    <col min="5391" max="5391" width="11.85546875" style="110" customWidth="1"/>
    <col min="5392" max="5392" width="12" style="110" customWidth="1"/>
    <col min="5393" max="5393" width="12.140625" style="110" customWidth="1"/>
    <col min="5394" max="5394" width="14.28515625" style="110" customWidth="1"/>
    <col min="5395" max="5632" width="9.28515625" style="110"/>
    <col min="5633" max="5633" width="4.42578125" style="110" customWidth="1"/>
    <col min="5634" max="5634" width="21.42578125" style="110" customWidth="1"/>
    <col min="5635" max="5635" width="0" style="110" hidden="1" customWidth="1"/>
    <col min="5636" max="5636" width="6.42578125" style="110" customWidth="1"/>
    <col min="5637" max="5637" width="6.7109375" style="110" customWidth="1"/>
    <col min="5638" max="5638" width="6.85546875" style="110" customWidth="1"/>
    <col min="5639" max="5639" width="16.5703125" style="110" customWidth="1"/>
    <col min="5640" max="5640" width="10.85546875" style="110" customWidth="1"/>
    <col min="5641" max="5642" width="10" style="110" customWidth="1"/>
    <col min="5643" max="5645" width="0" style="110" hidden="1" customWidth="1"/>
    <col min="5646" max="5646" width="12.140625" style="110" customWidth="1"/>
    <col min="5647" max="5647" width="11.85546875" style="110" customWidth="1"/>
    <col min="5648" max="5648" width="12" style="110" customWidth="1"/>
    <col min="5649" max="5649" width="12.140625" style="110" customWidth="1"/>
    <col min="5650" max="5650" width="14.28515625" style="110" customWidth="1"/>
    <col min="5651" max="5888" width="9.28515625" style="110"/>
    <col min="5889" max="5889" width="4.42578125" style="110" customWidth="1"/>
    <col min="5890" max="5890" width="21.42578125" style="110" customWidth="1"/>
    <col min="5891" max="5891" width="0" style="110" hidden="1" customWidth="1"/>
    <col min="5892" max="5892" width="6.42578125" style="110" customWidth="1"/>
    <col min="5893" max="5893" width="6.7109375" style="110" customWidth="1"/>
    <col min="5894" max="5894" width="6.85546875" style="110" customWidth="1"/>
    <col min="5895" max="5895" width="16.5703125" style="110" customWidth="1"/>
    <col min="5896" max="5896" width="10.85546875" style="110" customWidth="1"/>
    <col min="5897" max="5898" width="10" style="110" customWidth="1"/>
    <col min="5899" max="5901" width="0" style="110" hidden="1" customWidth="1"/>
    <col min="5902" max="5902" width="12.140625" style="110" customWidth="1"/>
    <col min="5903" max="5903" width="11.85546875" style="110" customWidth="1"/>
    <col min="5904" max="5904" width="12" style="110" customWidth="1"/>
    <col min="5905" max="5905" width="12.140625" style="110" customWidth="1"/>
    <col min="5906" max="5906" width="14.28515625" style="110" customWidth="1"/>
    <col min="5907" max="6144" width="9.28515625" style="110"/>
    <col min="6145" max="6145" width="4.42578125" style="110" customWidth="1"/>
    <col min="6146" max="6146" width="21.42578125" style="110" customWidth="1"/>
    <col min="6147" max="6147" width="0" style="110" hidden="1" customWidth="1"/>
    <col min="6148" max="6148" width="6.42578125" style="110" customWidth="1"/>
    <col min="6149" max="6149" width="6.7109375" style="110" customWidth="1"/>
    <col min="6150" max="6150" width="6.85546875" style="110" customWidth="1"/>
    <col min="6151" max="6151" width="16.5703125" style="110" customWidth="1"/>
    <col min="6152" max="6152" width="10.85546875" style="110" customWidth="1"/>
    <col min="6153" max="6154" width="10" style="110" customWidth="1"/>
    <col min="6155" max="6157" width="0" style="110" hidden="1" customWidth="1"/>
    <col min="6158" max="6158" width="12.140625" style="110" customWidth="1"/>
    <col min="6159" max="6159" width="11.85546875" style="110" customWidth="1"/>
    <col min="6160" max="6160" width="12" style="110" customWidth="1"/>
    <col min="6161" max="6161" width="12.140625" style="110" customWidth="1"/>
    <col min="6162" max="6162" width="14.28515625" style="110" customWidth="1"/>
    <col min="6163" max="6400" width="9.28515625" style="110"/>
    <col min="6401" max="6401" width="4.42578125" style="110" customWidth="1"/>
    <col min="6402" max="6402" width="21.42578125" style="110" customWidth="1"/>
    <col min="6403" max="6403" width="0" style="110" hidden="1" customWidth="1"/>
    <col min="6404" max="6404" width="6.42578125" style="110" customWidth="1"/>
    <col min="6405" max="6405" width="6.7109375" style="110" customWidth="1"/>
    <col min="6406" max="6406" width="6.85546875" style="110" customWidth="1"/>
    <col min="6407" max="6407" width="16.5703125" style="110" customWidth="1"/>
    <col min="6408" max="6408" width="10.85546875" style="110" customWidth="1"/>
    <col min="6409" max="6410" width="10" style="110" customWidth="1"/>
    <col min="6411" max="6413" width="0" style="110" hidden="1" customWidth="1"/>
    <col min="6414" max="6414" width="12.140625" style="110" customWidth="1"/>
    <col min="6415" max="6415" width="11.85546875" style="110" customWidth="1"/>
    <col min="6416" max="6416" width="12" style="110" customWidth="1"/>
    <col min="6417" max="6417" width="12.140625" style="110" customWidth="1"/>
    <col min="6418" max="6418" width="14.28515625" style="110" customWidth="1"/>
    <col min="6419" max="6656" width="9.28515625" style="110"/>
    <col min="6657" max="6657" width="4.42578125" style="110" customWidth="1"/>
    <col min="6658" max="6658" width="21.42578125" style="110" customWidth="1"/>
    <col min="6659" max="6659" width="0" style="110" hidden="1" customWidth="1"/>
    <col min="6660" max="6660" width="6.42578125" style="110" customWidth="1"/>
    <col min="6661" max="6661" width="6.7109375" style="110" customWidth="1"/>
    <col min="6662" max="6662" width="6.85546875" style="110" customWidth="1"/>
    <col min="6663" max="6663" width="16.5703125" style="110" customWidth="1"/>
    <col min="6664" max="6664" width="10.85546875" style="110" customWidth="1"/>
    <col min="6665" max="6666" width="10" style="110" customWidth="1"/>
    <col min="6667" max="6669" width="0" style="110" hidden="1" customWidth="1"/>
    <col min="6670" max="6670" width="12.140625" style="110" customWidth="1"/>
    <col min="6671" max="6671" width="11.85546875" style="110" customWidth="1"/>
    <col min="6672" max="6672" width="12" style="110" customWidth="1"/>
    <col min="6673" max="6673" width="12.140625" style="110" customWidth="1"/>
    <col min="6674" max="6674" width="14.28515625" style="110" customWidth="1"/>
    <col min="6675" max="6912" width="9.28515625" style="110"/>
    <col min="6913" max="6913" width="4.42578125" style="110" customWidth="1"/>
    <col min="6914" max="6914" width="21.42578125" style="110" customWidth="1"/>
    <col min="6915" max="6915" width="0" style="110" hidden="1" customWidth="1"/>
    <col min="6916" max="6916" width="6.42578125" style="110" customWidth="1"/>
    <col min="6917" max="6917" width="6.7109375" style="110" customWidth="1"/>
    <col min="6918" max="6918" width="6.85546875" style="110" customWidth="1"/>
    <col min="6919" max="6919" width="16.5703125" style="110" customWidth="1"/>
    <col min="6920" max="6920" width="10.85546875" style="110" customWidth="1"/>
    <col min="6921" max="6922" width="10" style="110" customWidth="1"/>
    <col min="6923" max="6925" width="0" style="110" hidden="1" customWidth="1"/>
    <col min="6926" max="6926" width="12.140625" style="110" customWidth="1"/>
    <col min="6927" max="6927" width="11.85546875" style="110" customWidth="1"/>
    <col min="6928" max="6928" width="12" style="110" customWidth="1"/>
    <col min="6929" max="6929" width="12.140625" style="110" customWidth="1"/>
    <col min="6930" max="6930" width="14.28515625" style="110" customWidth="1"/>
    <col min="6931" max="7168" width="9.28515625" style="110"/>
    <col min="7169" max="7169" width="4.42578125" style="110" customWidth="1"/>
    <col min="7170" max="7170" width="21.42578125" style="110" customWidth="1"/>
    <col min="7171" max="7171" width="0" style="110" hidden="1" customWidth="1"/>
    <col min="7172" max="7172" width="6.42578125" style="110" customWidth="1"/>
    <col min="7173" max="7173" width="6.7109375" style="110" customWidth="1"/>
    <col min="7174" max="7174" width="6.85546875" style="110" customWidth="1"/>
    <col min="7175" max="7175" width="16.5703125" style="110" customWidth="1"/>
    <col min="7176" max="7176" width="10.85546875" style="110" customWidth="1"/>
    <col min="7177" max="7178" width="10" style="110" customWidth="1"/>
    <col min="7179" max="7181" width="0" style="110" hidden="1" customWidth="1"/>
    <col min="7182" max="7182" width="12.140625" style="110" customWidth="1"/>
    <col min="7183" max="7183" width="11.85546875" style="110" customWidth="1"/>
    <col min="7184" max="7184" width="12" style="110" customWidth="1"/>
    <col min="7185" max="7185" width="12.140625" style="110" customWidth="1"/>
    <col min="7186" max="7186" width="14.28515625" style="110" customWidth="1"/>
    <col min="7187" max="7424" width="9.28515625" style="110"/>
    <col min="7425" max="7425" width="4.42578125" style="110" customWidth="1"/>
    <col min="7426" max="7426" width="21.42578125" style="110" customWidth="1"/>
    <col min="7427" max="7427" width="0" style="110" hidden="1" customWidth="1"/>
    <col min="7428" max="7428" width="6.42578125" style="110" customWidth="1"/>
    <col min="7429" max="7429" width="6.7109375" style="110" customWidth="1"/>
    <col min="7430" max="7430" width="6.85546875" style="110" customWidth="1"/>
    <col min="7431" max="7431" width="16.5703125" style="110" customWidth="1"/>
    <col min="7432" max="7432" width="10.85546875" style="110" customWidth="1"/>
    <col min="7433" max="7434" width="10" style="110" customWidth="1"/>
    <col min="7435" max="7437" width="0" style="110" hidden="1" customWidth="1"/>
    <col min="7438" max="7438" width="12.140625" style="110" customWidth="1"/>
    <col min="7439" max="7439" width="11.85546875" style="110" customWidth="1"/>
    <col min="7440" max="7440" width="12" style="110" customWidth="1"/>
    <col min="7441" max="7441" width="12.140625" style="110" customWidth="1"/>
    <col min="7442" max="7442" width="14.28515625" style="110" customWidth="1"/>
    <col min="7443" max="7680" width="9.28515625" style="110"/>
    <col min="7681" max="7681" width="4.42578125" style="110" customWidth="1"/>
    <col min="7682" max="7682" width="21.42578125" style="110" customWidth="1"/>
    <col min="7683" max="7683" width="0" style="110" hidden="1" customWidth="1"/>
    <col min="7684" max="7684" width="6.42578125" style="110" customWidth="1"/>
    <col min="7685" max="7685" width="6.7109375" style="110" customWidth="1"/>
    <col min="7686" max="7686" width="6.85546875" style="110" customWidth="1"/>
    <col min="7687" max="7687" width="16.5703125" style="110" customWidth="1"/>
    <col min="7688" max="7688" width="10.85546875" style="110" customWidth="1"/>
    <col min="7689" max="7690" width="10" style="110" customWidth="1"/>
    <col min="7691" max="7693" width="0" style="110" hidden="1" customWidth="1"/>
    <col min="7694" max="7694" width="12.140625" style="110" customWidth="1"/>
    <col min="7695" max="7695" width="11.85546875" style="110" customWidth="1"/>
    <col min="7696" max="7696" width="12" style="110" customWidth="1"/>
    <col min="7697" max="7697" width="12.140625" style="110" customWidth="1"/>
    <col min="7698" max="7698" width="14.28515625" style="110" customWidth="1"/>
    <col min="7699" max="7936" width="9.28515625" style="110"/>
    <col min="7937" max="7937" width="4.42578125" style="110" customWidth="1"/>
    <col min="7938" max="7938" width="21.42578125" style="110" customWidth="1"/>
    <col min="7939" max="7939" width="0" style="110" hidden="1" customWidth="1"/>
    <col min="7940" max="7940" width="6.42578125" style="110" customWidth="1"/>
    <col min="7941" max="7941" width="6.7109375" style="110" customWidth="1"/>
    <col min="7942" max="7942" width="6.85546875" style="110" customWidth="1"/>
    <col min="7943" max="7943" width="16.5703125" style="110" customWidth="1"/>
    <col min="7944" max="7944" width="10.85546875" style="110" customWidth="1"/>
    <col min="7945" max="7946" width="10" style="110" customWidth="1"/>
    <col min="7947" max="7949" width="0" style="110" hidden="1" customWidth="1"/>
    <col min="7950" max="7950" width="12.140625" style="110" customWidth="1"/>
    <col min="7951" max="7951" width="11.85546875" style="110" customWidth="1"/>
    <col min="7952" max="7952" width="12" style="110" customWidth="1"/>
    <col min="7953" max="7953" width="12.140625" style="110" customWidth="1"/>
    <col min="7954" max="7954" width="14.28515625" style="110" customWidth="1"/>
    <col min="7955" max="8192" width="9.28515625" style="110"/>
    <col min="8193" max="8193" width="4.42578125" style="110" customWidth="1"/>
    <col min="8194" max="8194" width="21.42578125" style="110" customWidth="1"/>
    <col min="8195" max="8195" width="0" style="110" hidden="1" customWidth="1"/>
    <col min="8196" max="8196" width="6.42578125" style="110" customWidth="1"/>
    <col min="8197" max="8197" width="6.7109375" style="110" customWidth="1"/>
    <col min="8198" max="8198" width="6.85546875" style="110" customWidth="1"/>
    <col min="8199" max="8199" width="16.5703125" style="110" customWidth="1"/>
    <col min="8200" max="8200" width="10.85546875" style="110" customWidth="1"/>
    <col min="8201" max="8202" width="10" style="110" customWidth="1"/>
    <col min="8203" max="8205" width="0" style="110" hidden="1" customWidth="1"/>
    <col min="8206" max="8206" width="12.140625" style="110" customWidth="1"/>
    <col min="8207" max="8207" width="11.85546875" style="110" customWidth="1"/>
    <col min="8208" max="8208" width="12" style="110" customWidth="1"/>
    <col min="8209" max="8209" width="12.140625" style="110" customWidth="1"/>
    <col min="8210" max="8210" width="14.28515625" style="110" customWidth="1"/>
    <col min="8211" max="8448" width="9.28515625" style="110"/>
    <col min="8449" max="8449" width="4.42578125" style="110" customWidth="1"/>
    <col min="8450" max="8450" width="21.42578125" style="110" customWidth="1"/>
    <col min="8451" max="8451" width="0" style="110" hidden="1" customWidth="1"/>
    <col min="8452" max="8452" width="6.42578125" style="110" customWidth="1"/>
    <col min="8453" max="8453" width="6.7109375" style="110" customWidth="1"/>
    <col min="8454" max="8454" width="6.85546875" style="110" customWidth="1"/>
    <col min="8455" max="8455" width="16.5703125" style="110" customWidth="1"/>
    <col min="8456" max="8456" width="10.85546875" style="110" customWidth="1"/>
    <col min="8457" max="8458" width="10" style="110" customWidth="1"/>
    <col min="8459" max="8461" width="0" style="110" hidden="1" customWidth="1"/>
    <col min="8462" max="8462" width="12.140625" style="110" customWidth="1"/>
    <col min="8463" max="8463" width="11.85546875" style="110" customWidth="1"/>
    <col min="8464" max="8464" width="12" style="110" customWidth="1"/>
    <col min="8465" max="8465" width="12.140625" style="110" customWidth="1"/>
    <col min="8466" max="8466" width="14.28515625" style="110" customWidth="1"/>
    <col min="8467" max="8704" width="9.28515625" style="110"/>
    <col min="8705" max="8705" width="4.42578125" style="110" customWidth="1"/>
    <col min="8706" max="8706" width="21.42578125" style="110" customWidth="1"/>
    <col min="8707" max="8707" width="0" style="110" hidden="1" customWidth="1"/>
    <col min="8708" max="8708" width="6.42578125" style="110" customWidth="1"/>
    <col min="8709" max="8709" width="6.7109375" style="110" customWidth="1"/>
    <col min="8710" max="8710" width="6.85546875" style="110" customWidth="1"/>
    <col min="8711" max="8711" width="16.5703125" style="110" customWidth="1"/>
    <col min="8712" max="8712" width="10.85546875" style="110" customWidth="1"/>
    <col min="8713" max="8714" width="10" style="110" customWidth="1"/>
    <col min="8715" max="8717" width="0" style="110" hidden="1" customWidth="1"/>
    <col min="8718" max="8718" width="12.140625" style="110" customWidth="1"/>
    <col min="8719" max="8719" width="11.85546875" style="110" customWidth="1"/>
    <col min="8720" max="8720" width="12" style="110" customWidth="1"/>
    <col min="8721" max="8721" width="12.140625" style="110" customWidth="1"/>
    <col min="8722" max="8722" width="14.28515625" style="110" customWidth="1"/>
    <col min="8723" max="8960" width="9.28515625" style="110"/>
    <col min="8961" max="8961" width="4.42578125" style="110" customWidth="1"/>
    <col min="8962" max="8962" width="21.42578125" style="110" customWidth="1"/>
    <col min="8963" max="8963" width="0" style="110" hidden="1" customWidth="1"/>
    <col min="8964" max="8964" width="6.42578125" style="110" customWidth="1"/>
    <col min="8965" max="8965" width="6.7109375" style="110" customWidth="1"/>
    <col min="8966" max="8966" width="6.85546875" style="110" customWidth="1"/>
    <col min="8967" max="8967" width="16.5703125" style="110" customWidth="1"/>
    <col min="8968" max="8968" width="10.85546875" style="110" customWidth="1"/>
    <col min="8969" max="8970" width="10" style="110" customWidth="1"/>
    <col min="8971" max="8973" width="0" style="110" hidden="1" customWidth="1"/>
    <col min="8974" max="8974" width="12.140625" style="110" customWidth="1"/>
    <col min="8975" max="8975" width="11.85546875" style="110" customWidth="1"/>
    <col min="8976" max="8976" width="12" style="110" customWidth="1"/>
    <col min="8977" max="8977" width="12.140625" style="110" customWidth="1"/>
    <col min="8978" max="8978" width="14.28515625" style="110" customWidth="1"/>
    <col min="8979" max="9216" width="9.28515625" style="110"/>
    <col min="9217" max="9217" width="4.42578125" style="110" customWidth="1"/>
    <col min="9218" max="9218" width="21.42578125" style="110" customWidth="1"/>
    <col min="9219" max="9219" width="0" style="110" hidden="1" customWidth="1"/>
    <col min="9220" max="9220" width="6.42578125" style="110" customWidth="1"/>
    <col min="9221" max="9221" width="6.7109375" style="110" customWidth="1"/>
    <col min="9222" max="9222" width="6.85546875" style="110" customWidth="1"/>
    <col min="9223" max="9223" width="16.5703125" style="110" customWidth="1"/>
    <col min="9224" max="9224" width="10.85546875" style="110" customWidth="1"/>
    <col min="9225" max="9226" width="10" style="110" customWidth="1"/>
    <col min="9227" max="9229" width="0" style="110" hidden="1" customWidth="1"/>
    <col min="9230" max="9230" width="12.140625" style="110" customWidth="1"/>
    <col min="9231" max="9231" width="11.85546875" style="110" customWidth="1"/>
    <col min="9232" max="9232" width="12" style="110" customWidth="1"/>
    <col min="9233" max="9233" width="12.140625" style="110" customWidth="1"/>
    <col min="9234" max="9234" width="14.28515625" style="110" customWidth="1"/>
    <col min="9235" max="9472" width="9.28515625" style="110"/>
    <col min="9473" max="9473" width="4.42578125" style="110" customWidth="1"/>
    <col min="9474" max="9474" width="21.42578125" style="110" customWidth="1"/>
    <col min="9475" max="9475" width="0" style="110" hidden="1" customWidth="1"/>
    <col min="9476" max="9476" width="6.42578125" style="110" customWidth="1"/>
    <col min="9477" max="9477" width="6.7109375" style="110" customWidth="1"/>
    <col min="9478" max="9478" width="6.85546875" style="110" customWidth="1"/>
    <col min="9479" max="9479" width="16.5703125" style="110" customWidth="1"/>
    <col min="9480" max="9480" width="10.85546875" style="110" customWidth="1"/>
    <col min="9481" max="9482" width="10" style="110" customWidth="1"/>
    <col min="9483" max="9485" width="0" style="110" hidden="1" customWidth="1"/>
    <col min="9486" max="9486" width="12.140625" style="110" customWidth="1"/>
    <col min="9487" max="9487" width="11.85546875" style="110" customWidth="1"/>
    <col min="9488" max="9488" width="12" style="110" customWidth="1"/>
    <col min="9489" max="9489" width="12.140625" style="110" customWidth="1"/>
    <col min="9490" max="9490" width="14.28515625" style="110" customWidth="1"/>
    <col min="9491" max="9728" width="9.28515625" style="110"/>
    <col min="9729" max="9729" width="4.42578125" style="110" customWidth="1"/>
    <col min="9730" max="9730" width="21.42578125" style="110" customWidth="1"/>
    <col min="9731" max="9731" width="0" style="110" hidden="1" customWidth="1"/>
    <col min="9732" max="9732" width="6.42578125" style="110" customWidth="1"/>
    <col min="9733" max="9733" width="6.7109375" style="110" customWidth="1"/>
    <col min="9734" max="9734" width="6.85546875" style="110" customWidth="1"/>
    <col min="9735" max="9735" width="16.5703125" style="110" customWidth="1"/>
    <col min="9736" max="9736" width="10.85546875" style="110" customWidth="1"/>
    <col min="9737" max="9738" width="10" style="110" customWidth="1"/>
    <col min="9739" max="9741" width="0" style="110" hidden="1" customWidth="1"/>
    <col min="9742" max="9742" width="12.140625" style="110" customWidth="1"/>
    <col min="9743" max="9743" width="11.85546875" style="110" customWidth="1"/>
    <col min="9744" max="9744" width="12" style="110" customWidth="1"/>
    <col min="9745" max="9745" width="12.140625" style="110" customWidth="1"/>
    <col min="9746" max="9746" width="14.28515625" style="110" customWidth="1"/>
    <col min="9747" max="9984" width="9.28515625" style="110"/>
    <col min="9985" max="9985" width="4.42578125" style="110" customWidth="1"/>
    <col min="9986" max="9986" width="21.42578125" style="110" customWidth="1"/>
    <col min="9987" max="9987" width="0" style="110" hidden="1" customWidth="1"/>
    <col min="9988" max="9988" width="6.42578125" style="110" customWidth="1"/>
    <col min="9989" max="9989" width="6.7109375" style="110" customWidth="1"/>
    <col min="9990" max="9990" width="6.85546875" style="110" customWidth="1"/>
    <col min="9991" max="9991" width="16.5703125" style="110" customWidth="1"/>
    <col min="9992" max="9992" width="10.85546875" style="110" customWidth="1"/>
    <col min="9993" max="9994" width="10" style="110" customWidth="1"/>
    <col min="9995" max="9997" width="0" style="110" hidden="1" customWidth="1"/>
    <col min="9998" max="9998" width="12.140625" style="110" customWidth="1"/>
    <col min="9999" max="9999" width="11.85546875" style="110" customWidth="1"/>
    <col min="10000" max="10000" width="12" style="110" customWidth="1"/>
    <col min="10001" max="10001" width="12.140625" style="110" customWidth="1"/>
    <col min="10002" max="10002" width="14.28515625" style="110" customWidth="1"/>
    <col min="10003" max="10240" width="9.28515625" style="110"/>
    <col min="10241" max="10241" width="4.42578125" style="110" customWidth="1"/>
    <col min="10242" max="10242" width="21.42578125" style="110" customWidth="1"/>
    <col min="10243" max="10243" width="0" style="110" hidden="1" customWidth="1"/>
    <col min="10244" max="10244" width="6.42578125" style="110" customWidth="1"/>
    <col min="10245" max="10245" width="6.7109375" style="110" customWidth="1"/>
    <col min="10246" max="10246" width="6.85546875" style="110" customWidth="1"/>
    <col min="10247" max="10247" width="16.5703125" style="110" customWidth="1"/>
    <col min="10248" max="10248" width="10.85546875" style="110" customWidth="1"/>
    <col min="10249" max="10250" width="10" style="110" customWidth="1"/>
    <col min="10251" max="10253" width="0" style="110" hidden="1" customWidth="1"/>
    <col min="10254" max="10254" width="12.140625" style="110" customWidth="1"/>
    <col min="10255" max="10255" width="11.85546875" style="110" customWidth="1"/>
    <col min="10256" max="10256" width="12" style="110" customWidth="1"/>
    <col min="10257" max="10257" width="12.140625" style="110" customWidth="1"/>
    <col min="10258" max="10258" width="14.28515625" style="110" customWidth="1"/>
    <col min="10259" max="10496" width="9.28515625" style="110"/>
    <col min="10497" max="10497" width="4.42578125" style="110" customWidth="1"/>
    <col min="10498" max="10498" width="21.42578125" style="110" customWidth="1"/>
    <col min="10499" max="10499" width="0" style="110" hidden="1" customWidth="1"/>
    <col min="10500" max="10500" width="6.42578125" style="110" customWidth="1"/>
    <col min="10501" max="10501" width="6.7109375" style="110" customWidth="1"/>
    <col min="10502" max="10502" width="6.85546875" style="110" customWidth="1"/>
    <col min="10503" max="10503" width="16.5703125" style="110" customWidth="1"/>
    <col min="10504" max="10504" width="10.85546875" style="110" customWidth="1"/>
    <col min="10505" max="10506" width="10" style="110" customWidth="1"/>
    <col min="10507" max="10509" width="0" style="110" hidden="1" customWidth="1"/>
    <col min="10510" max="10510" width="12.140625" style="110" customWidth="1"/>
    <col min="10511" max="10511" width="11.85546875" style="110" customWidth="1"/>
    <col min="10512" max="10512" width="12" style="110" customWidth="1"/>
    <col min="10513" max="10513" width="12.140625" style="110" customWidth="1"/>
    <col min="10514" max="10514" width="14.28515625" style="110" customWidth="1"/>
    <col min="10515" max="10752" width="9.28515625" style="110"/>
    <col min="10753" max="10753" width="4.42578125" style="110" customWidth="1"/>
    <col min="10754" max="10754" width="21.42578125" style="110" customWidth="1"/>
    <col min="10755" max="10755" width="0" style="110" hidden="1" customWidth="1"/>
    <col min="10756" max="10756" width="6.42578125" style="110" customWidth="1"/>
    <col min="10757" max="10757" width="6.7109375" style="110" customWidth="1"/>
    <col min="10758" max="10758" width="6.85546875" style="110" customWidth="1"/>
    <col min="10759" max="10759" width="16.5703125" style="110" customWidth="1"/>
    <col min="10760" max="10760" width="10.85546875" style="110" customWidth="1"/>
    <col min="10761" max="10762" width="10" style="110" customWidth="1"/>
    <col min="10763" max="10765" width="0" style="110" hidden="1" customWidth="1"/>
    <col min="10766" max="10766" width="12.140625" style="110" customWidth="1"/>
    <col min="10767" max="10767" width="11.85546875" style="110" customWidth="1"/>
    <col min="10768" max="10768" width="12" style="110" customWidth="1"/>
    <col min="10769" max="10769" width="12.140625" style="110" customWidth="1"/>
    <col min="10770" max="10770" width="14.28515625" style="110" customWidth="1"/>
    <col min="10771" max="11008" width="9.28515625" style="110"/>
    <col min="11009" max="11009" width="4.42578125" style="110" customWidth="1"/>
    <col min="11010" max="11010" width="21.42578125" style="110" customWidth="1"/>
    <col min="11011" max="11011" width="0" style="110" hidden="1" customWidth="1"/>
    <col min="11012" max="11012" width="6.42578125" style="110" customWidth="1"/>
    <col min="11013" max="11013" width="6.7109375" style="110" customWidth="1"/>
    <col min="11014" max="11014" width="6.85546875" style="110" customWidth="1"/>
    <col min="11015" max="11015" width="16.5703125" style="110" customWidth="1"/>
    <col min="11016" max="11016" width="10.85546875" style="110" customWidth="1"/>
    <col min="11017" max="11018" width="10" style="110" customWidth="1"/>
    <col min="11019" max="11021" width="0" style="110" hidden="1" customWidth="1"/>
    <col min="11022" max="11022" width="12.140625" style="110" customWidth="1"/>
    <col min="11023" max="11023" width="11.85546875" style="110" customWidth="1"/>
    <col min="11024" max="11024" width="12" style="110" customWidth="1"/>
    <col min="11025" max="11025" width="12.140625" style="110" customWidth="1"/>
    <col min="11026" max="11026" width="14.28515625" style="110" customWidth="1"/>
    <col min="11027" max="11264" width="9.28515625" style="110"/>
    <col min="11265" max="11265" width="4.42578125" style="110" customWidth="1"/>
    <col min="11266" max="11266" width="21.42578125" style="110" customWidth="1"/>
    <col min="11267" max="11267" width="0" style="110" hidden="1" customWidth="1"/>
    <col min="11268" max="11268" width="6.42578125" style="110" customWidth="1"/>
    <col min="11269" max="11269" width="6.7109375" style="110" customWidth="1"/>
    <col min="11270" max="11270" width="6.85546875" style="110" customWidth="1"/>
    <col min="11271" max="11271" width="16.5703125" style="110" customWidth="1"/>
    <col min="11272" max="11272" width="10.85546875" style="110" customWidth="1"/>
    <col min="11273" max="11274" width="10" style="110" customWidth="1"/>
    <col min="11275" max="11277" width="0" style="110" hidden="1" customWidth="1"/>
    <col min="11278" max="11278" width="12.140625" style="110" customWidth="1"/>
    <col min="11279" max="11279" width="11.85546875" style="110" customWidth="1"/>
    <col min="11280" max="11280" width="12" style="110" customWidth="1"/>
    <col min="11281" max="11281" width="12.140625" style="110" customWidth="1"/>
    <col min="11282" max="11282" width="14.28515625" style="110" customWidth="1"/>
    <col min="11283" max="11520" width="9.28515625" style="110"/>
    <col min="11521" max="11521" width="4.42578125" style="110" customWidth="1"/>
    <col min="11522" max="11522" width="21.42578125" style="110" customWidth="1"/>
    <col min="11523" max="11523" width="0" style="110" hidden="1" customWidth="1"/>
    <col min="11524" max="11524" width="6.42578125" style="110" customWidth="1"/>
    <col min="11525" max="11525" width="6.7109375" style="110" customWidth="1"/>
    <col min="11526" max="11526" width="6.85546875" style="110" customWidth="1"/>
    <col min="11527" max="11527" width="16.5703125" style="110" customWidth="1"/>
    <col min="11528" max="11528" width="10.85546875" style="110" customWidth="1"/>
    <col min="11529" max="11530" width="10" style="110" customWidth="1"/>
    <col min="11531" max="11533" width="0" style="110" hidden="1" customWidth="1"/>
    <col min="11534" max="11534" width="12.140625" style="110" customWidth="1"/>
    <col min="11535" max="11535" width="11.85546875" style="110" customWidth="1"/>
    <col min="11536" max="11536" width="12" style="110" customWidth="1"/>
    <col min="11537" max="11537" width="12.140625" style="110" customWidth="1"/>
    <col min="11538" max="11538" width="14.28515625" style="110" customWidth="1"/>
    <col min="11539" max="11776" width="9.28515625" style="110"/>
    <col min="11777" max="11777" width="4.42578125" style="110" customWidth="1"/>
    <col min="11778" max="11778" width="21.42578125" style="110" customWidth="1"/>
    <col min="11779" max="11779" width="0" style="110" hidden="1" customWidth="1"/>
    <col min="11780" max="11780" width="6.42578125" style="110" customWidth="1"/>
    <col min="11781" max="11781" width="6.7109375" style="110" customWidth="1"/>
    <col min="11782" max="11782" width="6.85546875" style="110" customWidth="1"/>
    <col min="11783" max="11783" width="16.5703125" style="110" customWidth="1"/>
    <col min="11784" max="11784" width="10.85546875" style="110" customWidth="1"/>
    <col min="11785" max="11786" width="10" style="110" customWidth="1"/>
    <col min="11787" max="11789" width="0" style="110" hidden="1" customWidth="1"/>
    <col min="11790" max="11790" width="12.140625" style="110" customWidth="1"/>
    <col min="11791" max="11791" width="11.85546875" style="110" customWidth="1"/>
    <col min="11792" max="11792" width="12" style="110" customWidth="1"/>
    <col min="11793" max="11793" width="12.140625" style="110" customWidth="1"/>
    <col min="11794" max="11794" width="14.28515625" style="110" customWidth="1"/>
    <col min="11795" max="12032" width="9.28515625" style="110"/>
    <col min="12033" max="12033" width="4.42578125" style="110" customWidth="1"/>
    <col min="12034" max="12034" width="21.42578125" style="110" customWidth="1"/>
    <col min="12035" max="12035" width="0" style="110" hidden="1" customWidth="1"/>
    <col min="12036" max="12036" width="6.42578125" style="110" customWidth="1"/>
    <col min="12037" max="12037" width="6.7109375" style="110" customWidth="1"/>
    <col min="12038" max="12038" width="6.85546875" style="110" customWidth="1"/>
    <col min="12039" max="12039" width="16.5703125" style="110" customWidth="1"/>
    <col min="12040" max="12040" width="10.85546875" style="110" customWidth="1"/>
    <col min="12041" max="12042" width="10" style="110" customWidth="1"/>
    <col min="12043" max="12045" width="0" style="110" hidden="1" customWidth="1"/>
    <col min="12046" max="12046" width="12.140625" style="110" customWidth="1"/>
    <col min="12047" max="12047" width="11.85546875" style="110" customWidth="1"/>
    <col min="12048" max="12048" width="12" style="110" customWidth="1"/>
    <col min="12049" max="12049" width="12.140625" style="110" customWidth="1"/>
    <col min="12050" max="12050" width="14.28515625" style="110" customWidth="1"/>
    <col min="12051" max="12288" width="9.28515625" style="110"/>
    <col min="12289" max="12289" width="4.42578125" style="110" customWidth="1"/>
    <col min="12290" max="12290" width="21.42578125" style="110" customWidth="1"/>
    <col min="12291" max="12291" width="0" style="110" hidden="1" customWidth="1"/>
    <col min="12292" max="12292" width="6.42578125" style="110" customWidth="1"/>
    <col min="12293" max="12293" width="6.7109375" style="110" customWidth="1"/>
    <col min="12294" max="12294" width="6.85546875" style="110" customWidth="1"/>
    <col min="12295" max="12295" width="16.5703125" style="110" customWidth="1"/>
    <col min="12296" max="12296" width="10.85546875" style="110" customWidth="1"/>
    <col min="12297" max="12298" width="10" style="110" customWidth="1"/>
    <col min="12299" max="12301" width="0" style="110" hidden="1" customWidth="1"/>
    <col min="12302" max="12302" width="12.140625" style="110" customWidth="1"/>
    <col min="12303" max="12303" width="11.85546875" style="110" customWidth="1"/>
    <col min="12304" max="12304" width="12" style="110" customWidth="1"/>
    <col min="12305" max="12305" width="12.140625" style="110" customWidth="1"/>
    <col min="12306" max="12306" width="14.28515625" style="110" customWidth="1"/>
    <col min="12307" max="12544" width="9.28515625" style="110"/>
    <col min="12545" max="12545" width="4.42578125" style="110" customWidth="1"/>
    <col min="12546" max="12546" width="21.42578125" style="110" customWidth="1"/>
    <col min="12547" max="12547" width="0" style="110" hidden="1" customWidth="1"/>
    <col min="12548" max="12548" width="6.42578125" style="110" customWidth="1"/>
    <col min="12549" max="12549" width="6.7109375" style="110" customWidth="1"/>
    <col min="12550" max="12550" width="6.85546875" style="110" customWidth="1"/>
    <col min="12551" max="12551" width="16.5703125" style="110" customWidth="1"/>
    <col min="12552" max="12552" width="10.85546875" style="110" customWidth="1"/>
    <col min="12553" max="12554" width="10" style="110" customWidth="1"/>
    <col min="12555" max="12557" width="0" style="110" hidden="1" customWidth="1"/>
    <col min="12558" max="12558" width="12.140625" style="110" customWidth="1"/>
    <col min="12559" max="12559" width="11.85546875" style="110" customWidth="1"/>
    <col min="12560" max="12560" width="12" style="110" customWidth="1"/>
    <col min="12561" max="12561" width="12.140625" style="110" customWidth="1"/>
    <col min="12562" max="12562" width="14.28515625" style="110" customWidth="1"/>
    <col min="12563" max="12800" width="9.28515625" style="110"/>
    <col min="12801" max="12801" width="4.42578125" style="110" customWidth="1"/>
    <col min="12802" max="12802" width="21.42578125" style="110" customWidth="1"/>
    <col min="12803" max="12803" width="0" style="110" hidden="1" customWidth="1"/>
    <col min="12804" max="12804" width="6.42578125" style="110" customWidth="1"/>
    <col min="12805" max="12805" width="6.7109375" style="110" customWidth="1"/>
    <col min="12806" max="12806" width="6.85546875" style="110" customWidth="1"/>
    <col min="12807" max="12807" width="16.5703125" style="110" customWidth="1"/>
    <col min="12808" max="12808" width="10.85546875" style="110" customWidth="1"/>
    <col min="12809" max="12810" width="10" style="110" customWidth="1"/>
    <col min="12811" max="12813" width="0" style="110" hidden="1" customWidth="1"/>
    <col min="12814" max="12814" width="12.140625" style="110" customWidth="1"/>
    <col min="12815" max="12815" width="11.85546875" style="110" customWidth="1"/>
    <col min="12816" max="12816" width="12" style="110" customWidth="1"/>
    <col min="12817" max="12817" width="12.140625" style="110" customWidth="1"/>
    <col min="12818" max="12818" width="14.28515625" style="110" customWidth="1"/>
    <col min="12819" max="13056" width="9.28515625" style="110"/>
    <col min="13057" max="13057" width="4.42578125" style="110" customWidth="1"/>
    <col min="13058" max="13058" width="21.42578125" style="110" customWidth="1"/>
    <col min="13059" max="13059" width="0" style="110" hidden="1" customWidth="1"/>
    <col min="13060" max="13060" width="6.42578125" style="110" customWidth="1"/>
    <col min="13061" max="13061" width="6.7109375" style="110" customWidth="1"/>
    <col min="13062" max="13062" width="6.85546875" style="110" customWidth="1"/>
    <col min="13063" max="13063" width="16.5703125" style="110" customWidth="1"/>
    <col min="13064" max="13064" width="10.85546875" style="110" customWidth="1"/>
    <col min="13065" max="13066" width="10" style="110" customWidth="1"/>
    <col min="13067" max="13069" width="0" style="110" hidden="1" customWidth="1"/>
    <col min="13070" max="13070" width="12.140625" style="110" customWidth="1"/>
    <col min="13071" max="13071" width="11.85546875" style="110" customWidth="1"/>
    <col min="13072" max="13072" width="12" style="110" customWidth="1"/>
    <col min="13073" max="13073" width="12.140625" style="110" customWidth="1"/>
    <col min="13074" max="13074" width="14.28515625" style="110" customWidth="1"/>
    <col min="13075" max="13312" width="9.28515625" style="110"/>
    <col min="13313" max="13313" width="4.42578125" style="110" customWidth="1"/>
    <col min="13314" max="13314" width="21.42578125" style="110" customWidth="1"/>
    <col min="13315" max="13315" width="0" style="110" hidden="1" customWidth="1"/>
    <col min="13316" max="13316" width="6.42578125" style="110" customWidth="1"/>
    <col min="13317" max="13317" width="6.7109375" style="110" customWidth="1"/>
    <col min="13318" max="13318" width="6.85546875" style="110" customWidth="1"/>
    <col min="13319" max="13319" width="16.5703125" style="110" customWidth="1"/>
    <col min="13320" max="13320" width="10.85546875" style="110" customWidth="1"/>
    <col min="13321" max="13322" width="10" style="110" customWidth="1"/>
    <col min="13323" max="13325" width="0" style="110" hidden="1" customWidth="1"/>
    <col min="13326" max="13326" width="12.140625" style="110" customWidth="1"/>
    <col min="13327" max="13327" width="11.85546875" style="110" customWidth="1"/>
    <col min="13328" max="13328" width="12" style="110" customWidth="1"/>
    <col min="13329" max="13329" width="12.140625" style="110" customWidth="1"/>
    <col min="13330" max="13330" width="14.28515625" style="110" customWidth="1"/>
    <col min="13331" max="13568" width="9.28515625" style="110"/>
    <col min="13569" max="13569" width="4.42578125" style="110" customWidth="1"/>
    <col min="13570" max="13570" width="21.42578125" style="110" customWidth="1"/>
    <col min="13571" max="13571" width="0" style="110" hidden="1" customWidth="1"/>
    <col min="13572" max="13572" width="6.42578125" style="110" customWidth="1"/>
    <col min="13573" max="13573" width="6.7109375" style="110" customWidth="1"/>
    <col min="13574" max="13574" width="6.85546875" style="110" customWidth="1"/>
    <col min="13575" max="13575" width="16.5703125" style="110" customWidth="1"/>
    <col min="13576" max="13576" width="10.85546875" style="110" customWidth="1"/>
    <col min="13577" max="13578" width="10" style="110" customWidth="1"/>
    <col min="13579" max="13581" width="0" style="110" hidden="1" customWidth="1"/>
    <col min="13582" max="13582" width="12.140625" style="110" customWidth="1"/>
    <col min="13583" max="13583" width="11.85546875" style="110" customWidth="1"/>
    <col min="13584" max="13584" width="12" style="110" customWidth="1"/>
    <col min="13585" max="13585" width="12.140625" style="110" customWidth="1"/>
    <col min="13586" max="13586" width="14.28515625" style="110" customWidth="1"/>
    <col min="13587" max="13824" width="9.28515625" style="110"/>
    <col min="13825" max="13825" width="4.42578125" style="110" customWidth="1"/>
    <col min="13826" max="13826" width="21.42578125" style="110" customWidth="1"/>
    <col min="13827" max="13827" width="0" style="110" hidden="1" customWidth="1"/>
    <col min="13828" max="13828" width="6.42578125" style="110" customWidth="1"/>
    <col min="13829" max="13829" width="6.7109375" style="110" customWidth="1"/>
    <col min="13830" max="13830" width="6.85546875" style="110" customWidth="1"/>
    <col min="13831" max="13831" width="16.5703125" style="110" customWidth="1"/>
    <col min="13832" max="13832" width="10.85546875" style="110" customWidth="1"/>
    <col min="13833" max="13834" width="10" style="110" customWidth="1"/>
    <col min="13835" max="13837" width="0" style="110" hidden="1" customWidth="1"/>
    <col min="13838" max="13838" width="12.140625" style="110" customWidth="1"/>
    <col min="13839" max="13839" width="11.85546875" style="110" customWidth="1"/>
    <col min="13840" max="13840" width="12" style="110" customWidth="1"/>
    <col min="13841" max="13841" width="12.140625" style="110" customWidth="1"/>
    <col min="13842" max="13842" width="14.28515625" style="110" customWidth="1"/>
    <col min="13843" max="14080" width="9.28515625" style="110"/>
    <col min="14081" max="14081" width="4.42578125" style="110" customWidth="1"/>
    <col min="14082" max="14082" width="21.42578125" style="110" customWidth="1"/>
    <col min="14083" max="14083" width="0" style="110" hidden="1" customWidth="1"/>
    <col min="14084" max="14084" width="6.42578125" style="110" customWidth="1"/>
    <col min="14085" max="14085" width="6.7109375" style="110" customWidth="1"/>
    <col min="14086" max="14086" width="6.85546875" style="110" customWidth="1"/>
    <col min="14087" max="14087" width="16.5703125" style="110" customWidth="1"/>
    <col min="14088" max="14088" width="10.85546875" style="110" customWidth="1"/>
    <col min="14089" max="14090" width="10" style="110" customWidth="1"/>
    <col min="14091" max="14093" width="0" style="110" hidden="1" customWidth="1"/>
    <col min="14094" max="14094" width="12.140625" style="110" customWidth="1"/>
    <col min="14095" max="14095" width="11.85546875" style="110" customWidth="1"/>
    <col min="14096" max="14096" width="12" style="110" customWidth="1"/>
    <col min="14097" max="14097" width="12.140625" style="110" customWidth="1"/>
    <col min="14098" max="14098" width="14.28515625" style="110" customWidth="1"/>
    <col min="14099" max="14336" width="9.28515625" style="110"/>
    <col min="14337" max="14337" width="4.42578125" style="110" customWidth="1"/>
    <col min="14338" max="14338" width="21.42578125" style="110" customWidth="1"/>
    <col min="14339" max="14339" width="0" style="110" hidden="1" customWidth="1"/>
    <col min="14340" max="14340" width="6.42578125" style="110" customWidth="1"/>
    <col min="14341" max="14341" width="6.7109375" style="110" customWidth="1"/>
    <col min="14342" max="14342" width="6.85546875" style="110" customWidth="1"/>
    <col min="14343" max="14343" width="16.5703125" style="110" customWidth="1"/>
    <col min="14344" max="14344" width="10.85546875" style="110" customWidth="1"/>
    <col min="14345" max="14346" width="10" style="110" customWidth="1"/>
    <col min="14347" max="14349" width="0" style="110" hidden="1" customWidth="1"/>
    <col min="14350" max="14350" width="12.140625" style="110" customWidth="1"/>
    <col min="14351" max="14351" width="11.85546875" style="110" customWidth="1"/>
    <col min="14352" max="14352" width="12" style="110" customWidth="1"/>
    <col min="14353" max="14353" width="12.140625" style="110" customWidth="1"/>
    <col min="14354" max="14354" width="14.28515625" style="110" customWidth="1"/>
    <col min="14355" max="14592" width="9.28515625" style="110"/>
    <col min="14593" max="14593" width="4.42578125" style="110" customWidth="1"/>
    <col min="14594" max="14594" width="21.42578125" style="110" customWidth="1"/>
    <col min="14595" max="14595" width="0" style="110" hidden="1" customWidth="1"/>
    <col min="14596" max="14596" width="6.42578125" style="110" customWidth="1"/>
    <col min="14597" max="14597" width="6.7109375" style="110" customWidth="1"/>
    <col min="14598" max="14598" width="6.85546875" style="110" customWidth="1"/>
    <col min="14599" max="14599" width="16.5703125" style="110" customWidth="1"/>
    <col min="14600" max="14600" width="10.85546875" style="110" customWidth="1"/>
    <col min="14601" max="14602" width="10" style="110" customWidth="1"/>
    <col min="14603" max="14605" width="0" style="110" hidden="1" customWidth="1"/>
    <col min="14606" max="14606" width="12.140625" style="110" customWidth="1"/>
    <col min="14607" max="14607" width="11.85546875" style="110" customWidth="1"/>
    <col min="14608" max="14608" width="12" style="110" customWidth="1"/>
    <col min="14609" max="14609" width="12.140625" style="110" customWidth="1"/>
    <col min="14610" max="14610" width="14.28515625" style="110" customWidth="1"/>
    <col min="14611" max="14848" width="9.28515625" style="110"/>
    <col min="14849" max="14849" width="4.42578125" style="110" customWidth="1"/>
    <col min="14850" max="14850" width="21.42578125" style="110" customWidth="1"/>
    <col min="14851" max="14851" width="0" style="110" hidden="1" customWidth="1"/>
    <col min="14852" max="14852" width="6.42578125" style="110" customWidth="1"/>
    <col min="14853" max="14853" width="6.7109375" style="110" customWidth="1"/>
    <col min="14854" max="14854" width="6.85546875" style="110" customWidth="1"/>
    <col min="14855" max="14855" width="16.5703125" style="110" customWidth="1"/>
    <col min="14856" max="14856" width="10.85546875" style="110" customWidth="1"/>
    <col min="14857" max="14858" width="10" style="110" customWidth="1"/>
    <col min="14859" max="14861" width="0" style="110" hidden="1" customWidth="1"/>
    <col min="14862" max="14862" width="12.140625" style="110" customWidth="1"/>
    <col min="14863" max="14863" width="11.85546875" style="110" customWidth="1"/>
    <col min="14864" max="14864" width="12" style="110" customWidth="1"/>
    <col min="14865" max="14865" width="12.140625" style="110" customWidth="1"/>
    <col min="14866" max="14866" width="14.28515625" style="110" customWidth="1"/>
    <col min="14867" max="15104" width="9.28515625" style="110"/>
    <col min="15105" max="15105" width="4.42578125" style="110" customWidth="1"/>
    <col min="15106" max="15106" width="21.42578125" style="110" customWidth="1"/>
    <col min="15107" max="15107" width="0" style="110" hidden="1" customWidth="1"/>
    <col min="15108" max="15108" width="6.42578125" style="110" customWidth="1"/>
    <col min="15109" max="15109" width="6.7109375" style="110" customWidth="1"/>
    <col min="15110" max="15110" width="6.85546875" style="110" customWidth="1"/>
    <col min="15111" max="15111" width="16.5703125" style="110" customWidth="1"/>
    <col min="15112" max="15112" width="10.85546875" style="110" customWidth="1"/>
    <col min="15113" max="15114" width="10" style="110" customWidth="1"/>
    <col min="15115" max="15117" width="0" style="110" hidden="1" customWidth="1"/>
    <col min="15118" max="15118" width="12.140625" style="110" customWidth="1"/>
    <col min="15119" max="15119" width="11.85546875" style="110" customWidth="1"/>
    <col min="15120" max="15120" width="12" style="110" customWidth="1"/>
    <col min="15121" max="15121" width="12.140625" style="110" customWidth="1"/>
    <col min="15122" max="15122" width="14.28515625" style="110" customWidth="1"/>
    <col min="15123" max="15360" width="9.28515625" style="110"/>
    <col min="15361" max="15361" width="4.42578125" style="110" customWidth="1"/>
    <col min="15362" max="15362" width="21.42578125" style="110" customWidth="1"/>
    <col min="15363" max="15363" width="0" style="110" hidden="1" customWidth="1"/>
    <col min="15364" max="15364" width="6.42578125" style="110" customWidth="1"/>
    <col min="15365" max="15365" width="6.7109375" style="110" customWidth="1"/>
    <col min="15366" max="15366" width="6.85546875" style="110" customWidth="1"/>
    <col min="15367" max="15367" width="16.5703125" style="110" customWidth="1"/>
    <col min="15368" max="15368" width="10.85546875" style="110" customWidth="1"/>
    <col min="15369" max="15370" width="10" style="110" customWidth="1"/>
    <col min="15371" max="15373" width="0" style="110" hidden="1" customWidth="1"/>
    <col min="15374" max="15374" width="12.140625" style="110" customWidth="1"/>
    <col min="15375" max="15375" width="11.85546875" style="110" customWidth="1"/>
    <col min="15376" max="15376" width="12" style="110" customWidth="1"/>
    <col min="15377" max="15377" width="12.140625" style="110" customWidth="1"/>
    <col min="15378" max="15378" width="14.28515625" style="110" customWidth="1"/>
    <col min="15379" max="15616" width="9.28515625" style="110"/>
    <col min="15617" max="15617" width="4.42578125" style="110" customWidth="1"/>
    <col min="15618" max="15618" width="21.42578125" style="110" customWidth="1"/>
    <col min="15619" max="15619" width="0" style="110" hidden="1" customWidth="1"/>
    <col min="15620" max="15620" width="6.42578125" style="110" customWidth="1"/>
    <col min="15621" max="15621" width="6.7109375" style="110" customWidth="1"/>
    <col min="15622" max="15622" width="6.85546875" style="110" customWidth="1"/>
    <col min="15623" max="15623" width="16.5703125" style="110" customWidth="1"/>
    <col min="15624" max="15624" width="10.85546875" style="110" customWidth="1"/>
    <col min="15625" max="15626" width="10" style="110" customWidth="1"/>
    <col min="15627" max="15629" width="0" style="110" hidden="1" customWidth="1"/>
    <col min="15630" max="15630" width="12.140625" style="110" customWidth="1"/>
    <col min="15631" max="15631" width="11.85546875" style="110" customWidth="1"/>
    <col min="15632" max="15632" width="12" style="110" customWidth="1"/>
    <col min="15633" max="15633" width="12.140625" style="110" customWidth="1"/>
    <col min="15634" max="15634" width="14.28515625" style="110" customWidth="1"/>
    <col min="15635" max="15872" width="9.28515625" style="110"/>
    <col min="15873" max="15873" width="4.42578125" style="110" customWidth="1"/>
    <col min="15874" max="15874" width="21.42578125" style="110" customWidth="1"/>
    <col min="15875" max="15875" width="0" style="110" hidden="1" customWidth="1"/>
    <col min="15876" max="15876" width="6.42578125" style="110" customWidth="1"/>
    <col min="15877" max="15877" width="6.7109375" style="110" customWidth="1"/>
    <col min="15878" max="15878" width="6.85546875" style="110" customWidth="1"/>
    <col min="15879" max="15879" width="16.5703125" style="110" customWidth="1"/>
    <col min="15880" max="15880" width="10.85546875" style="110" customWidth="1"/>
    <col min="15881" max="15882" width="10" style="110" customWidth="1"/>
    <col min="15883" max="15885" width="0" style="110" hidden="1" customWidth="1"/>
    <col min="15886" max="15886" width="12.140625" style="110" customWidth="1"/>
    <col min="15887" max="15887" width="11.85546875" style="110" customWidth="1"/>
    <col min="15888" max="15888" width="12" style="110" customWidth="1"/>
    <col min="15889" max="15889" width="12.140625" style="110" customWidth="1"/>
    <col min="15890" max="15890" width="14.28515625" style="110" customWidth="1"/>
    <col min="15891" max="16128" width="9.28515625" style="110"/>
    <col min="16129" max="16129" width="4.42578125" style="110" customWidth="1"/>
    <col min="16130" max="16130" width="21.42578125" style="110" customWidth="1"/>
    <col min="16131" max="16131" width="0" style="110" hidden="1" customWidth="1"/>
    <col min="16132" max="16132" width="6.42578125" style="110" customWidth="1"/>
    <col min="16133" max="16133" width="6.7109375" style="110" customWidth="1"/>
    <col min="16134" max="16134" width="6.85546875" style="110" customWidth="1"/>
    <col min="16135" max="16135" width="16.5703125" style="110" customWidth="1"/>
    <col min="16136" max="16136" width="10.85546875" style="110" customWidth="1"/>
    <col min="16137" max="16138" width="10" style="110" customWidth="1"/>
    <col min="16139" max="16141" width="0" style="110" hidden="1" customWidth="1"/>
    <col min="16142" max="16142" width="12.140625" style="110" customWidth="1"/>
    <col min="16143" max="16143" width="11.85546875" style="110" customWidth="1"/>
    <col min="16144" max="16144" width="12" style="110" customWidth="1"/>
    <col min="16145" max="16145" width="12.140625" style="110" customWidth="1"/>
    <col min="16146" max="16146" width="14.28515625" style="110" customWidth="1"/>
    <col min="16147" max="16384" width="9.28515625" style="110"/>
  </cols>
  <sheetData>
    <row r="1" spans="1:18" ht="21.75" customHeight="1">
      <c r="A1" s="314" t="s">
        <v>284</v>
      </c>
      <c r="B1" s="314"/>
      <c r="C1" s="314"/>
      <c r="D1" s="314"/>
      <c r="E1" s="314"/>
      <c r="F1" s="314"/>
      <c r="G1" s="314"/>
      <c r="H1" s="314"/>
      <c r="I1" s="314"/>
      <c r="J1" s="314"/>
      <c r="K1" s="314"/>
      <c r="L1" s="314"/>
      <c r="M1" s="314"/>
      <c r="N1" s="314"/>
      <c r="O1" s="314"/>
      <c r="P1" s="314"/>
      <c r="Q1" s="314"/>
    </row>
    <row r="2" spans="1:18" ht="17.25" customHeight="1">
      <c r="A2" s="316" t="s">
        <v>182</v>
      </c>
      <c r="B2" s="316"/>
      <c r="C2" s="316"/>
      <c r="D2" s="316"/>
      <c r="E2" s="316"/>
      <c r="F2" s="316"/>
      <c r="G2" s="316"/>
      <c r="H2" s="316"/>
      <c r="I2" s="316"/>
      <c r="J2" s="316"/>
      <c r="K2" s="316"/>
      <c r="L2" s="316"/>
      <c r="M2" s="316"/>
      <c r="N2" s="316"/>
      <c r="O2" s="316"/>
      <c r="P2" s="316"/>
      <c r="Q2" s="316"/>
    </row>
    <row r="3" spans="1:18" ht="8.25" customHeight="1">
      <c r="A3" s="163"/>
      <c r="B3" s="164"/>
      <c r="C3" s="164"/>
      <c r="D3" s="164"/>
      <c r="E3" s="164"/>
      <c r="F3" s="164"/>
      <c r="G3" s="164"/>
      <c r="H3" s="164"/>
      <c r="I3" s="164"/>
      <c r="J3" s="164"/>
      <c r="K3" s="164"/>
      <c r="L3" s="164"/>
      <c r="M3" s="164"/>
      <c r="N3" s="164"/>
      <c r="O3" s="164"/>
      <c r="P3" s="164"/>
      <c r="Q3" s="164"/>
    </row>
    <row r="4" spans="1:18" s="111" customFormat="1" ht="14.25" customHeight="1">
      <c r="A4" s="317" t="s">
        <v>172</v>
      </c>
      <c r="B4" s="317"/>
      <c r="C4" s="317"/>
      <c r="D4" s="317"/>
      <c r="E4" s="317"/>
      <c r="F4" s="317"/>
      <c r="G4" s="317"/>
      <c r="H4" s="317"/>
      <c r="I4" s="317"/>
      <c r="J4" s="317"/>
      <c r="K4" s="317"/>
      <c r="L4" s="317"/>
      <c r="M4" s="317"/>
      <c r="N4" s="317"/>
      <c r="O4" s="317"/>
      <c r="P4" s="317"/>
      <c r="Q4" s="317"/>
    </row>
    <row r="5" spans="1:18" s="119" customFormat="1" ht="55.5" customHeight="1">
      <c r="A5" s="324" t="s">
        <v>129</v>
      </c>
      <c r="B5" s="324" t="s">
        <v>173</v>
      </c>
      <c r="C5" s="343"/>
      <c r="D5" s="345" t="s">
        <v>174</v>
      </c>
      <c r="E5" s="346"/>
      <c r="F5" s="347"/>
      <c r="G5" s="324" t="s">
        <v>183</v>
      </c>
      <c r="H5" s="348" t="s">
        <v>184</v>
      </c>
      <c r="I5" s="349"/>
      <c r="J5" s="349"/>
      <c r="K5" s="349"/>
      <c r="L5" s="349"/>
      <c r="M5" s="350"/>
      <c r="N5" s="348" t="s">
        <v>162</v>
      </c>
      <c r="O5" s="349"/>
      <c r="P5" s="350"/>
      <c r="Q5" s="324" t="s">
        <v>78</v>
      </c>
    </row>
    <row r="6" spans="1:18" s="123" customFormat="1" ht="26.1" customHeight="1">
      <c r="A6" s="325"/>
      <c r="B6" s="325"/>
      <c r="C6" s="344"/>
      <c r="D6" s="165" t="s">
        <v>41</v>
      </c>
      <c r="E6" s="166" t="s">
        <v>177</v>
      </c>
      <c r="F6" s="167" t="s">
        <v>44</v>
      </c>
      <c r="G6" s="325"/>
      <c r="H6" s="168" t="s">
        <v>41</v>
      </c>
      <c r="I6" s="168" t="s">
        <v>177</v>
      </c>
      <c r="J6" s="326" t="s">
        <v>44</v>
      </c>
      <c r="K6" s="327"/>
      <c r="L6" s="327"/>
      <c r="M6" s="328"/>
      <c r="N6" s="168" t="s">
        <v>41</v>
      </c>
      <c r="O6" s="168" t="s">
        <v>177</v>
      </c>
      <c r="P6" s="169" t="s">
        <v>44</v>
      </c>
      <c r="Q6" s="325"/>
      <c r="R6" s="122"/>
    </row>
    <row r="7" spans="1:18" s="123" customFormat="1" ht="26.1" customHeight="1">
      <c r="A7" s="170" t="s">
        <v>130</v>
      </c>
      <c r="B7" s="329" t="s">
        <v>185</v>
      </c>
      <c r="C7" s="330"/>
      <c r="D7" s="330"/>
      <c r="E7" s="330"/>
      <c r="F7" s="330"/>
      <c r="G7" s="330"/>
      <c r="H7" s="330"/>
      <c r="I7" s="330"/>
      <c r="J7" s="331"/>
      <c r="K7" s="171"/>
      <c r="L7" s="171"/>
      <c r="M7" s="171"/>
      <c r="N7" s="184">
        <f>SUM(N8:N9)</f>
        <v>280000000</v>
      </c>
      <c r="O7" s="184">
        <f>SUM(O8:O9)</f>
        <v>200000000</v>
      </c>
      <c r="P7" s="184">
        <f>SUM(P8:P9)</f>
        <v>480000000</v>
      </c>
      <c r="Q7" s="185">
        <f>SUM(N7:P7)</f>
        <v>960000000</v>
      </c>
      <c r="R7" s="122"/>
    </row>
    <row r="8" spans="1:18" s="123" customFormat="1" ht="26.1" customHeight="1">
      <c r="A8" s="172">
        <v>1</v>
      </c>
      <c r="B8" s="173" t="s">
        <v>163</v>
      </c>
      <c r="C8" s="173"/>
      <c r="D8" s="380">
        <v>4</v>
      </c>
      <c r="E8" s="382">
        <v>5</v>
      </c>
      <c r="F8" s="384">
        <v>16</v>
      </c>
      <c r="G8" s="338" t="s">
        <v>271</v>
      </c>
      <c r="H8" s="376">
        <v>35000000</v>
      </c>
      <c r="I8" s="378">
        <v>20000000</v>
      </c>
      <c r="J8" s="388">
        <v>15000000</v>
      </c>
      <c r="K8" s="186"/>
      <c r="L8" s="186"/>
      <c r="M8" s="187"/>
      <c r="N8" s="188">
        <f>SUM(D8*H8)</f>
        <v>140000000</v>
      </c>
      <c r="O8" s="188">
        <f>SUM(E8*I8)</f>
        <v>100000000</v>
      </c>
      <c r="P8" s="188">
        <f>SUM(F8*J8)</f>
        <v>240000000</v>
      </c>
      <c r="Q8" s="177"/>
      <c r="R8" s="122"/>
    </row>
    <row r="9" spans="1:18" s="123" customFormat="1" ht="26.1" customHeight="1">
      <c r="A9" s="178">
        <v>2</v>
      </c>
      <c r="B9" s="179" t="s">
        <v>165</v>
      </c>
      <c r="C9" s="179"/>
      <c r="D9" s="381"/>
      <c r="E9" s="383"/>
      <c r="F9" s="385"/>
      <c r="G9" s="339"/>
      <c r="H9" s="377"/>
      <c r="I9" s="379"/>
      <c r="J9" s="391"/>
      <c r="K9" s="189"/>
      <c r="L9" s="189"/>
      <c r="M9" s="190"/>
      <c r="N9" s="191">
        <f>SUM(D8*H8)</f>
        <v>140000000</v>
      </c>
      <c r="O9" s="191">
        <f>SUM(E8*I8)</f>
        <v>100000000</v>
      </c>
      <c r="P9" s="191">
        <f>SUM(F8*J8)</f>
        <v>240000000</v>
      </c>
      <c r="Q9" s="181"/>
      <c r="R9" s="122"/>
    </row>
    <row r="10" spans="1:18" s="123" customFormat="1" ht="17.25" customHeight="1">
      <c r="A10" s="170" t="s">
        <v>140</v>
      </c>
      <c r="B10" s="329" t="s">
        <v>186</v>
      </c>
      <c r="C10" s="330"/>
      <c r="D10" s="330"/>
      <c r="E10" s="330"/>
      <c r="F10" s="330"/>
      <c r="G10" s="330"/>
      <c r="H10" s="330"/>
      <c r="I10" s="330"/>
      <c r="J10" s="331"/>
      <c r="K10" s="171"/>
      <c r="L10" s="171"/>
      <c r="M10" s="171"/>
      <c r="N10" s="171"/>
      <c r="O10" s="171"/>
      <c r="P10" s="171"/>
      <c r="Q10" s="192">
        <f>SUM(Q11+Q14)</f>
        <v>350000000</v>
      </c>
      <c r="R10" s="122"/>
    </row>
    <row r="11" spans="1:18" s="123" customFormat="1" ht="26.1" customHeight="1">
      <c r="A11" s="193">
        <v>1</v>
      </c>
      <c r="B11" s="355" t="s">
        <v>187</v>
      </c>
      <c r="C11" s="356"/>
      <c r="D11" s="356"/>
      <c r="E11" s="356"/>
      <c r="F11" s="356"/>
      <c r="G11" s="356"/>
      <c r="H11" s="356"/>
      <c r="I11" s="356"/>
      <c r="J11" s="394"/>
      <c r="K11" s="171"/>
      <c r="L11" s="171"/>
      <c r="M11" s="171"/>
      <c r="N11" s="194">
        <f>SUM(N12:N13)</f>
        <v>150000000</v>
      </c>
      <c r="O11" s="194">
        <f>SUM(O12:O13)</f>
        <v>70000000</v>
      </c>
      <c r="P11" s="194">
        <f>SUM(P12:P13)</f>
        <v>50000000</v>
      </c>
      <c r="Q11" s="195">
        <f>SUM(N11:P11)</f>
        <v>270000000</v>
      </c>
      <c r="R11" s="122"/>
    </row>
    <row r="12" spans="1:18" s="123" customFormat="1" ht="26.1" customHeight="1">
      <c r="A12" s="196">
        <v>1.1000000000000001</v>
      </c>
      <c r="B12" s="124" t="s">
        <v>163</v>
      </c>
      <c r="C12" s="124"/>
      <c r="D12" s="380">
        <v>1</v>
      </c>
      <c r="E12" s="382">
        <v>1</v>
      </c>
      <c r="F12" s="384">
        <v>1</v>
      </c>
      <c r="G12" s="395" t="s">
        <v>188</v>
      </c>
      <c r="H12" s="376">
        <f>75000000</f>
        <v>75000000</v>
      </c>
      <c r="I12" s="378">
        <f>35000000</f>
        <v>35000000</v>
      </c>
      <c r="J12" s="388">
        <f>25000000</f>
        <v>25000000</v>
      </c>
      <c r="K12" s="197"/>
      <c r="L12" s="197"/>
      <c r="M12" s="198"/>
      <c r="N12" s="199">
        <f>SUM(D12*H12)</f>
        <v>75000000</v>
      </c>
      <c r="O12" s="199">
        <f>SUM(E12*I12)</f>
        <v>35000000</v>
      </c>
      <c r="P12" s="199">
        <f>SUM(F12*J12)</f>
        <v>25000000</v>
      </c>
      <c r="Q12" s="200"/>
      <c r="R12" s="122"/>
    </row>
    <row r="13" spans="1:18" s="123" customFormat="1" ht="26.1" customHeight="1">
      <c r="A13" s="201">
        <v>1.2</v>
      </c>
      <c r="B13" s="149" t="s">
        <v>165</v>
      </c>
      <c r="C13" s="149"/>
      <c r="D13" s="381"/>
      <c r="E13" s="383"/>
      <c r="F13" s="385"/>
      <c r="G13" s="396"/>
      <c r="H13" s="377"/>
      <c r="I13" s="379"/>
      <c r="J13" s="391"/>
      <c r="K13" s="202"/>
      <c r="L13" s="202"/>
      <c r="M13" s="203"/>
      <c r="N13" s="204">
        <f>SUM(D12*H12)</f>
        <v>75000000</v>
      </c>
      <c r="O13" s="204">
        <f>SUM(E12*I12)</f>
        <v>35000000</v>
      </c>
      <c r="P13" s="204">
        <f>SUM(F12*J12)</f>
        <v>25000000</v>
      </c>
      <c r="Q13" s="181"/>
      <c r="R13" s="122"/>
    </row>
    <row r="14" spans="1:18" s="123" customFormat="1" ht="26.1" customHeight="1">
      <c r="A14" s="205">
        <v>2</v>
      </c>
      <c r="B14" s="355" t="s">
        <v>189</v>
      </c>
      <c r="C14" s="356"/>
      <c r="D14" s="356"/>
      <c r="E14" s="356"/>
      <c r="F14" s="356"/>
      <c r="G14" s="356"/>
      <c r="H14" s="356"/>
      <c r="I14" s="356"/>
      <c r="J14" s="356"/>
      <c r="K14" s="206"/>
      <c r="L14" s="206"/>
      <c r="M14" s="207"/>
      <c r="N14" s="171">
        <v>0</v>
      </c>
      <c r="O14" s="171">
        <v>0</v>
      </c>
      <c r="P14" s="194">
        <f>SUM(P15:P16)</f>
        <v>80000000</v>
      </c>
      <c r="Q14" s="208">
        <f>SUM(N14:P14)</f>
        <v>80000000</v>
      </c>
      <c r="R14" s="122"/>
    </row>
    <row r="15" spans="1:18" s="123" customFormat="1" ht="23.25" customHeight="1">
      <c r="A15" s="196">
        <v>2.1</v>
      </c>
      <c r="B15" s="124" t="s">
        <v>163</v>
      </c>
      <c r="C15" s="124"/>
      <c r="D15" s="380"/>
      <c r="E15" s="382"/>
      <c r="F15" s="384">
        <v>1</v>
      </c>
      <c r="G15" s="386" t="s">
        <v>190</v>
      </c>
      <c r="H15" s="376">
        <f>100000000</f>
        <v>100000000</v>
      </c>
      <c r="I15" s="378">
        <f>70000000</f>
        <v>70000000</v>
      </c>
      <c r="J15" s="388">
        <f>40000000</f>
        <v>40000000</v>
      </c>
      <c r="K15" s="389"/>
      <c r="L15" s="389"/>
      <c r="M15" s="390"/>
      <c r="N15" s="376"/>
      <c r="O15" s="378"/>
      <c r="P15" s="127">
        <f>SUM(F15*J15)</f>
        <v>40000000</v>
      </c>
      <c r="Q15" s="200"/>
      <c r="R15" s="122"/>
    </row>
    <row r="16" spans="1:18" s="123" customFormat="1" ht="20.25" customHeight="1">
      <c r="A16" s="201">
        <v>2.2000000000000002</v>
      </c>
      <c r="B16" s="149" t="s">
        <v>165</v>
      </c>
      <c r="C16" s="149"/>
      <c r="D16" s="381"/>
      <c r="E16" s="383"/>
      <c r="F16" s="385"/>
      <c r="G16" s="387"/>
      <c r="H16" s="377"/>
      <c r="I16" s="379"/>
      <c r="J16" s="391"/>
      <c r="K16" s="392"/>
      <c r="L16" s="392"/>
      <c r="M16" s="393"/>
      <c r="N16" s="377"/>
      <c r="O16" s="379"/>
      <c r="P16" s="127">
        <f>SUM(F15*J15)</f>
        <v>40000000</v>
      </c>
      <c r="Q16" s="181"/>
      <c r="R16" s="122"/>
    </row>
    <row r="17" spans="1:18" ht="26.1" customHeight="1">
      <c r="A17" s="151"/>
      <c r="B17" s="182" t="s">
        <v>191</v>
      </c>
      <c r="C17" s="209"/>
      <c r="D17" s="209"/>
      <c r="E17" s="153"/>
      <c r="F17" s="154"/>
      <c r="G17" s="155"/>
      <c r="H17" s="155"/>
      <c r="I17" s="155"/>
      <c r="J17" s="322"/>
      <c r="K17" s="323"/>
      <c r="L17" s="155"/>
      <c r="M17" s="155"/>
      <c r="N17" s="155">
        <f>SUM(N7+N11+N14)</f>
        <v>430000000</v>
      </c>
      <c r="O17" s="155">
        <f>SUM(O7+O11+O14)</f>
        <v>270000000</v>
      </c>
      <c r="P17" s="155">
        <f>SUM(P7+P11+P14)</f>
        <v>610000000</v>
      </c>
      <c r="Q17" s="192">
        <f>SUM(Q7+Q10)</f>
        <v>1310000000</v>
      </c>
      <c r="R17" s="122"/>
    </row>
    <row r="18" spans="1:18" ht="108.6" customHeight="1">
      <c r="A18" s="158"/>
      <c r="B18" s="159"/>
      <c r="C18" s="159"/>
      <c r="D18" s="159"/>
      <c r="E18" s="160"/>
      <c r="F18" s="161"/>
      <c r="G18" s="161"/>
      <c r="H18" s="161"/>
      <c r="I18" s="161"/>
      <c r="J18" s="161"/>
      <c r="K18" s="161"/>
      <c r="L18" s="161"/>
      <c r="M18" s="161"/>
      <c r="N18" s="161"/>
      <c r="O18" s="161"/>
      <c r="P18" s="161"/>
      <c r="Q18" s="162"/>
      <c r="R18" s="122"/>
    </row>
    <row r="19" spans="1:18" ht="108.6" customHeight="1">
      <c r="A19" s="158"/>
      <c r="B19" s="159"/>
      <c r="C19" s="159"/>
      <c r="D19" s="159"/>
      <c r="E19" s="160"/>
      <c r="F19" s="161"/>
      <c r="G19" s="161"/>
      <c r="H19" s="161"/>
      <c r="I19" s="161"/>
      <c r="J19" s="161"/>
      <c r="K19" s="161"/>
      <c r="L19" s="161"/>
      <c r="M19" s="161"/>
      <c r="N19" s="161"/>
      <c r="O19" s="161"/>
      <c r="P19" s="161"/>
      <c r="Q19" s="162"/>
      <c r="R19" s="122"/>
    </row>
    <row r="20" spans="1:18" ht="108.6" customHeight="1">
      <c r="A20" s="158"/>
      <c r="B20" s="159"/>
      <c r="C20" s="159"/>
      <c r="D20" s="159"/>
      <c r="E20" s="160"/>
      <c r="F20" s="161"/>
      <c r="G20" s="161"/>
      <c r="H20" s="161"/>
      <c r="I20" s="161"/>
      <c r="J20" s="161"/>
      <c r="K20" s="161"/>
      <c r="L20" s="161"/>
      <c r="M20" s="161"/>
      <c r="N20" s="161"/>
      <c r="O20" s="161"/>
      <c r="P20" s="161"/>
      <c r="Q20" s="162"/>
      <c r="R20" s="122"/>
    </row>
    <row r="21" spans="1:18" ht="108.6" customHeight="1">
      <c r="A21" s="158"/>
      <c r="B21" s="159"/>
      <c r="C21" s="159"/>
      <c r="D21" s="159"/>
      <c r="E21" s="160"/>
      <c r="F21" s="161"/>
      <c r="G21" s="161"/>
      <c r="H21" s="161"/>
      <c r="I21" s="161"/>
      <c r="J21" s="161"/>
      <c r="K21" s="161"/>
      <c r="L21" s="161"/>
      <c r="M21" s="161"/>
      <c r="N21" s="161"/>
      <c r="O21" s="161"/>
      <c r="P21" s="161"/>
      <c r="Q21" s="162"/>
      <c r="R21" s="122"/>
    </row>
  </sheetData>
  <mergeCells count="40">
    <mergeCell ref="A1:Q1"/>
    <mergeCell ref="A4:Q4"/>
    <mergeCell ref="A5:A6"/>
    <mergeCell ref="B5:B6"/>
    <mergeCell ref="C5:C6"/>
    <mergeCell ref="D5:F5"/>
    <mergeCell ref="G5:G6"/>
    <mergeCell ref="H5:M5"/>
    <mergeCell ref="N5:P5"/>
    <mergeCell ref="Q5:Q6"/>
    <mergeCell ref="J6:M6"/>
    <mergeCell ref="B7:J7"/>
    <mergeCell ref="D8:D9"/>
    <mergeCell ref="E8:E9"/>
    <mergeCell ref="F8:F9"/>
    <mergeCell ref="G8:G9"/>
    <mergeCell ref="H8:H9"/>
    <mergeCell ref="I8:I9"/>
    <mergeCell ref="J8:J9"/>
    <mergeCell ref="F12:F13"/>
    <mergeCell ref="G12:G13"/>
    <mergeCell ref="H12:H13"/>
    <mergeCell ref="I12:I13"/>
    <mergeCell ref="J12:J13"/>
    <mergeCell ref="N15:N16"/>
    <mergeCell ref="O15:O16"/>
    <mergeCell ref="J17:K17"/>
    <mergeCell ref="A2:Q2"/>
    <mergeCell ref="B14:J14"/>
    <mergeCell ref="D15:D16"/>
    <mergeCell ref="E15:E16"/>
    <mergeCell ref="F15:F16"/>
    <mergeCell ref="G15:G16"/>
    <mergeCell ref="H15:H16"/>
    <mergeCell ref="I15:I16"/>
    <mergeCell ref="J15:M16"/>
    <mergeCell ref="B10:J10"/>
    <mergeCell ref="B11:J11"/>
    <mergeCell ref="D12:D13"/>
    <mergeCell ref="E12:E13"/>
  </mergeCells>
  <pageMargins left="0.43307086614173229" right="0.15748031496062992" top="0.39370078740157483" bottom="0.39370078740157483" header="0.19685039370078741" footer="0.19685039370078741"/>
  <pageSetup paperSize="9" orientation="landscape"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2444A-AF78-4FEC-95FF-7FB9F519538A}">
  <sheetPr>
    <pageSetUpPr fitToPage="1"/>
  </sheetPr>
  <dimension ref="A1:G12"/>
  <sheetViews>
    <sheetView workbookViewId="0">
      <selection activeCell="A2" sqref="A2"/>
    </sheetView>
  </sheetViews>
  <sheetFormatPr defaultRowHeight="15"/>
  <cols>
    <col min="1" max="1" width="10.5703125" customWidth="1"/>
    <col min="2" max="2" width="38" customWidth="1"/>
    <col min="3" max="3" width="20.140625" customWidth="1"/>
    <col min="4" max="6" width="14.7109375" customWidth="1"/>
    <col min="7" max="7" width="11.7109375" customWidth="1"/>
  </cols>
  <sheetData>
    <row r="1" spans="1:7" ht="18.75">
      <c r="A1" s="223" t="s">
        <v>285</v>
      </c>
      <c r="B1" s="224"/>
      <c r="C1" s="224"/>
      <c r="D1" s="224"/>
      <c r="E1" s="224"/>
      <c r="F1" s="224"/>
      <c r="G1" s="224"/>
    </row>
    <row r="2" spans="1:7" ht="37.5">
      <c r="A2" s="228" t="s">
        <v>226</v>
      </c>
      <c r="B2" s="224"/>
      <c r="C2" s="224"/>
      <c r="D2" s="224"/>
      <c r="E2" s="224"/>
      <c r="F2" s="224"/>
      <c r="G2" s="224"/>
    </row>
    <row r="4" spans="1:7" ht="40.5" customHeight="1">
      <c r="A4" s="351" t="s">
        <v>129</v>
      </c>
      <c r="B4" s="351" t="s">
        <v>197</v>
      </c>
      <c r="C4" s="351" t="s">
        <v>207</v>
      </c>
      <c r="D4" s="351"/>
      <c r="E4" s="351"/>
      <c r="F4" s="319" t="s">
        <v>78</v>
      </c>
      <c r="G4" s="319" t="s">
        <v>2</v>
      </c>
    </row>
    <row r="5" spans="1:7" ht="40.5" customHeight="1">
      <c r="A5" s="398"/>
      <c r="B5" s="398"/>
      <c r="C5" s="231" t="s">
        <v>41</v>
      </c>
      <c r="D5" s="231" t="s">
        <v>177</v>
      </c>
      <c r="E5" s="231" t="s">
        <v>44</v>
      </c>
      <c r="F5" s="319"/>
      <c r="G5" s="319"/>
    </row>
    <row r="6" spans="1:7" ht="40.5" customHeight="1">
      <c r="A6" s="41" t="s">
        <v>130</v>
      </c>
      <c r="B6" s="245" t="s">
        <v>227</v>
      </c>
      <c r="C6" s="41">
        <v>4</v>
      </c>
      <c r="D6" s="41">
        <v>5</v>
      </c>
      <c r="E6" s="41">
        <v>16</v>
      </c>
      <c r="F6" s="235">
        <f>SUM(C6:E6)</f>
        <v>25</v>
      </c>
      <c r="G6" s="222"/>
    </row>
    <row r="7" spans="1:7" ht="56.25">
      <c r="A7" s="44">
        <v>1</v>
      </c>
      <c r="B7" s="226" t="s">
        <v>228</v>
      </c>
      <c r="C7" s="44">
        <v>2</v>
      </c>
      <c r="D7" s="44">
        <v>3</v>
      </c>
      <c r="E7" s="44">
        <v>10</v>
      </c>
      <c r="F7" s="230">
        <f t="shared" ref="F7:F11" si="0">SUM(C7:E7)</f>
        <v>15</v>
      </c>
      <c r="G7" s="222"/>
    </row>
    <row r="8" spans="1:7" ht="56.25">
      <c r="A8" s="44">
        <v>2</v>
      </c>
      <c r="B8" s="59" t="s">
        <v>229</v>
      </c>
      <c r="C8" s="44">
        <v>2</v>
      </c>
      <c r="D8" s="44">
        <v>2</v>
      </c>
      <c r="E8" s="44">
        <v>6</v>
      </c>
      <c r="F8" s="230">
        <f t="shared" si="0"/>
        <v>10</v>
      </c>
      <c r="G8" s="222"/>
    </row>
    <row r="9" spans="1:7" ht="40.5" customHeight="1">
      <c r="A9" s="41" t="s">
        <v>140</v>
      </c>
      <c r="B9" s="245" t="s">
        <v>230</v>
      </c>
      <c r="C9" s="41">
        <v>1</v>
      </c>
      <c r="D9" s="41">
        <v>1</v>
      </c>
      <c r="E9" s="41">
        <v>2</v>
      </c>
      <c r="F9" s="235">
        <f t="shared" si="0"/>
        <v>4</v>
      </c>
      <c r="G9" s="222"/>
    </row>
    <row r="10" spans="1:7" ht="40.5" customHeight="1">
      <c r="A10" s="44">
        <v>1</v>
      </c>
      <c r="B10" s="226" t="s">
        <v>231</v>
      </c>
      <c r="C10" s="44">
        <v>1</v>
      </c>
      <c r="D10" s="44">
        <v>1</v>
      </c>
      <c r="E10" s="44">
        <v>1</v>
      </c>
      <c r="F10" s="230">
        <f t="shared" si="0"/>
        <v>3</v>
      </c>
      <c r="G10" s="222"/>
    </row>
    <row r="11" spans="1:7" ht="40.5" customHeight="1">
      <c r="A11" s="44">
        <v>2</v>
      </c>
      <c r="B11" s="226" t="s">
        <v>232</v>
      </c>
      <c r="C11" s="44"/>
      <c r="D11" s="44"/>
      <c r="E11" s="44">
        <v>1</v>
      </c>
      <c r="F11" s="230">
        <f t="shared" si="0"/>
        <v>1</v>
      </c>
      <c r="G11" s="222"/>
    </row>
    <row r="12" spans="1:7" ht="40.5" customHeight="1">
      <c r="A12" s="397" t="s">
        <v>78</v>
      </c>
      <c r="B12" s="397"/>
      <c r="C12" s="244">
        <f>C9+C6</f>
        <v>5</v>
      </c>
      <c r="D12" s="244">
        <f>D9+D6</f>
        <v>6</v>
      </c>
      <c r="E12" s="244">
        <f>E9+E6</f>
        <v>18</v>
      </c>
      <c r="F12" s="244">
        <f>F9+F6</f>
        <v>29</v>
      </c>
      <c r="G12" s="222"/>
    </row>
  </sheetData>
  <mergeCells count="6">
    <mergeCell ref="G4:G5"/>
    <mergeCell ref="A12:B12"/>
    <mergeCell ref="A4:A5"/>
    <mergeCell ref="B4:B5"/>
    <mergeCell ref="C4:E4"/>
    <mergeCell ref="F4:F5"/>
  </mergeCells>
  <pageMargins left="0.70866141732283472" right="0.70866141732283472" top="0.74803149606299213" bottom="0.74803149606299213" header="0.31496062992125984" footer="0.31496062992125984"/>
  <pageSetup scale="9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3C501-457C-4EFA-BB54-233CDA3F547C}">
  <sheetPr>
    <pageSetUpPr fitToPage="1"/>
  </sheetPr>
  <dimension ref="A1:L245"/>
  <sheetViews>
    <sheetView workbookViewId="0">
      <selection activeCell="B4" sqref="B4"/>
    </sheetView>
  </sheetViews>
  <sheetFormatPr defaultColWidth="9.140625" defaultRowHeight="18.75"/>
  <cols>
    <col min="1" max="1" width="9.140625" style="1"/>
    <col min="2" max="2" width="52.7109375" style="1" customWidth="1"/>
    <col min="3" max="3" width="31.5703125" style="1" customWidth="1"/>
    <col min="4" max="4" width="26.28515625" style="1" customWidth="1"/>
    <col min="5" max="16384" width="9.140625" style="1"/>
  </cols>
  <sheetData>
    <row r="1" spans="1:4" ht="24.75" customHeight="1">
      <c r="B1" s="399" t="s">
        <v>288</v>
      </c>
      <c r="C1" s="399"/>
      <c r="D1" s="399"/>
    </row>
    <row r="2" spans="1:4" ht="43.5" customHeight="1">
      <c r="A2" s="42" t="s">
        <v>98</v>
      </c>
      <c r="B2" s="49"/>
      <c r="C2" s="43"/>
      <c r="D2" s="43"/>
    </row>
    <row r="3" spans="1:4" ht="30.75" customHeight="1">
      <c r="A3" s="48" t="s">
        <v>94</v>
      </c>
      <c r="B3" s="48"/>
    </row>
    <row r="4" spans="1:4" ht="39" customHeight="1">
      <c r="A4" s="40" t="s">
        <v>37</v>
      </c>
      <c r="B4" s="40" t="s">
        <v>99</v>
      </c>
      <c r="C4" s="41" t="s">
        <v>100</v>
      </c>
      <c r="D4" s="40" t="s">
        <v>2</v>
      </c>
    </row>
    <row r="5" spans="1:4" ht="37.5">
      <c r="A5" s="45">
        <v>1</v>
      </c>
      <c r="B5" s="39" t="s">
        <v>96</v>
      </c>
      <c r="C5" s="46">
        <f>'PL 4.5.1'!$C$13</f>
        <v>55170.5</v>
      </c>
      <c r="D5" s="44" t="s">
        <v>102</v>
      </c>
    </row>
    <row r="6" spans="1:4" ht="27.75" customHeight="1">
      <c r="A6" s="45">
        <v>2</v>
      </c>
      <c r="B6" s="39" t="s">
        <v>95</v>
      </c>
      <c r="C6" s="212">
        <f>'PL 4.5.2'!L254</f>
        <v>8210.4375</v>
      </c>
      <c r="D6" s="45" t="s">
        <v>101</v>
      </c>
    </row>
    <row r="7" spans="1:4" ht="29.25" customHeight="1">
      <c r="A7" s="45"/>
      <c r="B7" s="38" t="s">
        <v>97</v>
      </c>
      <c r="C7" s="47">
        <f>SUM(C5:C6)</f>
        <v>63380.9375</v>
      </c>
      <c r="D7" s="39"/>
    </row>
    <row r="9" spans="1:4" ht="25.5" customHeight="1">
      <c r="A9" s="48" t="s">
        <v>103</v>
      </c>
      <c r="B9" s="48"/>
    </row>
    <row r="10" spans="1:4" ht="39" customHeight="1">
      <c r="A10" s="40" t="s">
        <v>37</v>
      </c>
      <c r="B10" s="40" t="s">
        <v>99</v>
      </c>
      <c r="C10" s="41" t="s">
        <v>100</v>
      </c>
      <c r="D10" s="40" t="s">
        <v>2</v>
      </c>
    </row>
    <row r="11" spans="1:4" ht="37.5">
      <c r="A11" s="45">
        <v>1</v>
      </c>
      <c r="B11" s="39" t="s">
        <v>96</v>
      </c>
      <c r="C11" s="46">
        <f>'PL 4.5.1'!$C$13</f>
        <v>55170.5</v>
      </c>
      <c r="D11" s="44" t="s">
        <v>102</v>
      </c>
    </row>
    <row r="12" spans="1:4" ht="33" customHeight="1">
      <c r="A12" s="45">
        <v>2</v>
      </c>
      <c r="B12" s="39" t="s">
        <v>95</v>
      </c>
      <c r="C12" s="46">
        <f>'PL 4.5.2'!L85</f>
        <v>10357.375</v>
      </c>
      <c r="D12" s="45" t="s">
        <v>104</v>
      </c>
    </row>
    <row r="13" spans="1:4" ht="29.25" customHeight="1">
      <c r="A13" s="45"/>
      <c r="B13" s="38" t="s">
        <v>97</v>
      </c>
      <c r="C13" s="47">
        <f>SUM(C11:C12)</f>
        <v>65527.875</v>
      </c>
      <c r="D13" s="39"/>
    </row>
    <row r="15" spans="1:4">
      <c r="A15" s="48" t="s">
        <v>105</v>
      </c>
      <c r="B15" s="48"/>
    </row>
    <row r="16" spans="1:4" ht="37.5">
      <c r="A16" s="40" t="s">
        <v>37</v>
      </c>
      <c r="B16" s="40" t="s">
        <v>99</v>
      </c>
      <c r="C16" s="41" t="s">
        <v>100</v>
      </c>
      <c r="D16" s="40" t="s">
        <v>2</v>
      </c>
    </row>
    <row r="17" spans="1:4" ht="44.25" customHeight="1">
      <c r="A17" s="45">
        <v>1</v>
      </c>
      <c r="B17" s="39" t="s">
        <v>96</v>
      </c>
      <c r="C17" s="46">
        <f>'PL 4.5.1'!$C$24</f>
        <v>61887.75</v>
      </c>
      <c r="D17" s="44" t="s">
        <v>106</v>
      </c>
    </row>
    <row r="18" spans="1:4" ht="29.25" customHeight="1">
      <c r="A18" s="45">
        <v>2</v>
      </c>
      <c r="B18" s="39" t="s">
        <v>95</v>
      </c>
      <c r="C18" s="46">
        <f>'PL 4.5.2'!L170</f>
        <v>10572.9375</v>
      </c>
      <c r="D18" s="45" t="s">
        <v>107</v>
      </c>
    </row>
    <row r="19" spans="1:4" ht="29.25" customHeight="1">
      <c r="A19" s="45"/>
      <c r="B19" s="38" t="s">
        <v>97</v>
      </c>
      <c r="C19" s="47">
        <f>SUM(C17:C18)</f>
        <v>72460.6875</v>
      </c>
      <c r="D19" s="39"/>
    </row>
    <row r="243" spans="12:12">
      <c r="L243" s="211"/>
    </row>
    <row r="244" spans="12:12">
      <c r="L244" s="211"/>
    </row>
    <row r="245" spans="12:12">
      <c r="L245" s="211"/>
    </row>
  </sheetData>
  <mergeCells count="1">
    <mergeCell ref="B1:D1"/>
  </mergeCells>
  <pageMargins left="0.7" right="0.7" top="0.75" bottom="0.75" header="0.3" footer="0.3"/>
  <pageSetup paperSize="9"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A9F42-D213-44C8-8AC7-2F1BC723EBF1}">
  <sheetPr>
    <pageSetUpPr fitToPage="1"/>
  </sheetPr>
  <dimension ref="A1:N25"/>
  <sheetViews>
    <sheetView topLeftCell="B1" workbookViewId="0">
      <selection activeCell="A2" sqref="A2:N2"/>
    </sheetView>
  </sheetViews>
  <sheetFormatPr defaultColWidth="9.140625" defaultRowHeight="15.75"/>
  <cols>
    <col min="1" max="1" width="11" style="2" customWidth="1"/>
    <col min="2" max="2" width="50.7109375" style="2" bestFit="1" customWidth="1"/>
    <col min="3" max="5" width="11.140625" style="2" customWidth="1"/>
    <col min="6" max="6" width="9.42578125" style="2" customWidth="1"/>
    <col min="7" max="7" width="10.7109375" style="2" customWidth="1"/>
    <col min="8" max="10" width="11.140625" style="2" customWidth="1"/>
    <col min="11" max="11" width="9.42578125" style="2" customWidth="1"/>
    <col min="12" max="12" width="15.42578125" style="2" bestFit="1" customWidth="1"/>
    <col min="13" max="14" width="17.85546875" style="2" customWidth="1"/>
    <col min="15" max="16384" width="9.140625" style="2"/>
  </cols>
  <sheetData>
    <row r="1" spans="1:14">
      <c r="B1" s="411" t="s">
        <v>289</v>
      </c>
      <c r="C1" s="411"/>
      <c r="D1" s="411"/>
      <c r="E1" s="411"/>
      <c r="F1" s="411"/>
      <c r="G1" s="411"/>
      <c r="H1" s="411"/>
      <c r="I1" s="411"/>
      <c r="J1" s="411"/>
      <c r="K1" s="411"/>
      <c r="L1" s="411"/>
    </row>
    <row r="2" spans="1:14" ht="21.75" customHeight="1">
      <c r="A2" s="414" t="s">
        <v>34</v>
      </c>
      <c r="B2" s="415"/>
      <c r="C2" s="415"/>
      <c r="D2" s="415"/>
      <c r="E2" s="415"/>
      <c r="F2" s="415"/>
      <c r="G2" s="415"/>
      <c r="H2" s="415"/>
      <c r="I2" s="415"/>
      <c r="J2" s="415"/>
      <c r="K2" s="415"/>
      <c r="L2" s="415"/>
      <c r="M2" s="415"/>
      <c r="N2" s="415"/>
    </row>
    <row r="4" spans="1:14" ht="36" customHeight="1">
      <c r="A4" s="408" t="s">
        <v>0</v>
      </c>
      <c r="B4" s="408" t="s">
        <v>3</v>
      </c>
      <c r="C4" s="410" t="s">
        <v>4</v>
      </c>
      <c r="D4" s="410"/>
      <c r="E4" s="410"/>
      <c r="F4" s="410"/>
      <c r="G4" s="410"/>
      <c r="H4" s="401" t="s">
        <v>5</v>
      </c>
      <c r="I4" s="402"/>
      <c r="J4" s="402"/>
      <c r="K4" s="403"/>
      <c r="L4" s="412" t="s">
        <v>35</v>
      </c>
      <c r="M4" s="401" t="s">
        <v>6</v>
      </c>
      <c r="N4" s="403"/>
    </row>
    <row r="5" spans="1:14" s="4" customFormat="1" ht="27" customHeight="1">
      <c r="A5" s="409"/>
      <c r="B5" s="409"/>
      <c r="C5" s="3" t="s">
        <v>7</v>
      </c>
      <c r="D5" s="3" t="s">
        <v>8</v>
      </c>
      <c r="E5" s="3" t="s">
        <v>9</v>
      </c>
      <c r="F5" s="3" t="s">
        <v>10</v>
      </c>
      <c r="G5" s="3" t="s">
        <v>11</v>
      </c>
      <c r="H5" s="3" t="s">
        <v>7</v>
      </c>
      <c r="I5" s="3" t="s">
        <v>8</v>
      </c>
      <c r="J5" s="3" t="s">
        <v>9</v>
      </c>
      <c r="K5" s="3" t="s">
        <v>10</v>
      </c>
      <c r="L5" s="413"/>
      <c r="M5" s="3" t="s">
        <v>12</v>
      </c>
      <c r="N5" s="3" t="s">
        <v>13</v>
      </c>
    </row>
    <row r="6" spans="1:14" s="4" customFormat="1" ht="23.25" customHeight="1">
      <c r="A6" s="404" t="s">
        <v>14</v>
      </c>
      <c r="B6" s="5" t="s">
        <v>15</v>
      </c>
      <c r="C6" s="6">
        <f>'Chi tiết 4.5.1 (1)'!C7+'Chi tiết 4.5.1 (1)'!C13</f>
        <v>60</v>
      </c>
      <c r="D6" s="6">
        <f>'Chi tiết 4.5.1 (1)'!D7+'Chi tiết 4.5.1 (1)'!D13</f>
        <v>80</v>
      </c>
      <c r="E6" s="6">
        <f>'Chi tiết 4.5.1 (1)'!E7+'Chi tiết 4.5.1 (1)'!E13</f>
        <v>110</v>
      </c>
      <c r="F6" s="6">
        <f>'Chi tiết 4.5.1 (1)'!F7+'Chi tiết 4.5.1 (1)'!F13</f>
        <v>2</v>
      </c>
      <c r="G6" s="6">
        <f>SUM(C6:E6)</f>
        <v>250</v>
      </c>
      <c r="H6" s="6">
        <v>35</v>
      </c>
      <c r="I6" s="6">
        <v>20</v>
      </c>
      <c r="J6" s="6">
        <v>15</v>
      </c>
      <c r="K6" s="6">
        <v>30</v>
      </c>
      <c r="L6" s="6">
        <f>'Chi tiết 4.5.1 (1)'!H7+'Chi tiết 4.5.1 (1)'!H13</f>
        <v>522</v>
      </c>
      <c r="M6" s="7">
        <f>'Chi tiết 4.5.1 (1)'!I7+'Chi tiết 4.5.1 (1)'!I13</f>
        <v>13010</v>
      </c>
      <c r="N6" s="7">
        <f>'Chi tiết 4.5.1 (1)'!J7+'Chi tiết 4.5.1 (1)'!J13</f>
        <v>5767.5</v>
      </c>
    </row>
    <row r="7" spans="1:14" s="4" customFormat="1" ht="23.25" customHeight="1">
      <c r="A7" s="405"/>
      <c r="B7" s="5" t="s">
        <v>16</v>
      </c>
      <c r="C7" s="6">
        <f>'Chi tiết 4.5.1 (1)'!C8+'Chi tiết 4.5.1 (1)'!C14</f>
        <v>90</v>
      </c>
      <c r="D7" s="6">
        <f>'Chi tiết 4.5.1 (1)'!D8+'Chi tiết 4.5.1 (1)'!D14</f>
        <v>120</v>
      </c>
      <c r="E7" s="6">
        <f>'Chi tiết 4.5.1 (1)'!E8+'Chi tiết 4.5.1 (1)'!E14</f>
        <v>170</v>
      </c>
      <c r="F7" s="6">
        <f>'Chi tiết 4.5.1 (1)'!F8+'Chi tiết 4.5.1 (1)'!F14</f>
        <v>1</v>
      </c>
      <c r="G7" s="6">
        <f>SUM(C7:E7)</f>
        <v>380</v>
      </c>
      <c r="H7" s="6">
        <v>20</v>
      </c>
      <c r="I7" s="6">
        <v>14</v>
      </c>
      <c r="J7" s="6">
        <v>8</v>
      </c>
      <c r="K7" s="6">
        <v>30</v>
      </c>
      <c r="L7" s="6">
        <f>'Chi tiết 4.5.1 (1)'!H8+'Chi tiết 4.5.1 (1)'!H14</f>
        <v>861</v>
      </c>
      <c r="M7" s="7">
        <f>'Chi tiết 4.5.1 (1)'!I8+'Chi tiết 4.5.1 (1)'!I14</f>
        <v>11110</v>
      </c>
      <c r="N7" s="7">
        <f>'Chi tiết 4.5.1 (1)'!J8+'Chi tiết 4.5.1 (1)'!J14</f>
        <v>5056.5</v>
      </c>
    </row>
    <row r="8" spans="1:14" s="4" customFormat="1" ht="23.25" customHeight="1">
      <c r="A8" s="405"/>
      <c r="B8" s="5" t="s">
        <v>17</v>
      </c>
      <c r="C8" s="6">
        <f>'Chi tiết 4.5.1 (1)'!C9+'Chi tiết 4.5.1 (1)'!C15</f>
        <v>70</v>
      </c>
      <c r="D8" s="6">
        <f>'Chi tiết 4.5.1 (1)'!D9+'Chi tiết 4.5.1 (1)'!D15</f>
        <v>80</v>
      </c>
      <c r="E8" s="6">
        <f>'Chi tiết 4.5.1 (1)'!E9+'Chi tiết 4.5.1 (1)'!E15</f>
        <v>100</v>
      </c>
      <c r="F8" s="6">
        <f>'Chi tiết 4.5.1 (1)'!F9+'Chi tiết 4.5.1 (1)'!F15</f>
        <v>2</v>
      </c>
      <c r="G8" s="6">
        <f t="shared" ref="G8:G11" si="0">SUM(C8:E8)</f>
        <v>250</v>
      </c>
      <c r="H8" s="6">
        <v>20</v>
      </c>
      <c r="I8" s="6">
        <v>14</v>
      </c>
      <c r="J8" s="6">
        <v>8</v>
      </c>
      <c r="K8" s="6">
        <v>13</v>
      </c>
      <c r="L8" s="7">
        <f>'Chi tiết 4.5.1 (1)'!H9+'Chi tiết 4.5.1 (1)'!H15</f>
        <v>612</v>
      </c>
      <c r="M8" s="7">
        <f>'Chi tiết 4.5.1 (1)'!I9+'Chi tiết 4.5.1 (1)'!I15</f>
        <v>7906</v>
      </c>
      <c r="N8" s="7">
        <f>'Chi tiết 4.5.1 (1)'!J9+'Chi tiết 4.5.1 (1)'!J15</f>
        <v>3535.5</v>
      </c>
    </row>
    <row r="9" spans="1:14" s="4" customFormat="1" ht="23.25" customHeight="1">
      <c r="A9" s="405"/>
      <c r="B9" s="5" t="s">
        <v>18</v>
      </c>
      <c r="C9" s="6">
        <f>'Chi tiết 4.5.1 (1)'!C10+'Chi tiết 4.5.1 (1)'!C16</f>
        <v>35</v>
      </c>
      <c r="D9" s="6">
        <f>'Chi tiết 4.5.1 (1)'!D10+'Chi tiết 4.5.1 (1)'!D16</f>
        <v>40</v>
      </c>
      <c r="E9" s="6">
        <f>'Chi tiết 4.5.1 (1)'!E10+'Chi tiết 4.5.1 (1)'!E16</f>
        <v>55</v>
      </c>
      <c r="F9" s="6">
        <f>'Chi tiết 4.5.1 (1)'!F10+'Chi tiết 4.5.1 (1)'!F16</f>
        <v>0</v>
      </c>
      <c r="G9" s="6">
        <f t="shared" si="0"/>
        <v>130</v>
      </c>
      <c r="H9" s="6">
        <v>13</v>
      </c>
      <c r="I9" s="6">
        <v>10</v>
      </c>
      <c r="J9" s="6">
        <v>7</v>
      </c>
      <c r="K9" s="6">
        <v>13</v>
      </c>
      <c r="L9" s="6">
        <f>'Chi tiết 4.5.1 (1)'!H10+'Chi tiết 4.5.1 (1)'!H16</f>
        <v>370</v>
      </c>
      <c r="M9" s="7">
        <f>'Chi tiết 4.5.1 (1)'!I10+'Chi tiết 4.5.1 (1)'!I16</f>
        <v>3520</v>
      </c>
      <c r="N9" s="7">
        <f>'Chi tiết 4.5.1 (1)'!J10+'Chi tiết 4.5.1 (1)'!J16</f>
        <v>1443</v>
      </c>
    </row>
    <row r="10" spans="1:14" s="4" customFormat="1" ht="23.25" customHeight="1">
      <c r="A10" s="405"/>
      <c r="B10" s="5" t="s">
        <v>19</v>
      </c>
      <c r="C10" s="6">
        <f>'Chi tiết 4.5.1 (1)'!C11+'Chi tiết 4.5.1 (1)'!C17</f>
        <v>30</v>
      </c>
      <c r="D10" s="6">
        <f>'Chi tiết 4.5.1 (1)'!D11+'Chi tiết 4.5.1 (1)'!D17</f>
        <v>30</v>
      </c>
      <c r="E10" s="6">
        <f>'Chi tiết 4.5.1 (1)'!E11+'Chi tiết 4.5.1 (1)'!E17</f>
        <v>40</v>
      </c>
      <c r="F10" s="6">
        <f>'Chi tiết 4.5.1 (1)'!F11+'Chi tiết 4.5.1 (1)'!F17</f>
        <v>0</v>
      </c>
      <c r="G10" s="6">
        <f t="shared" si="0"/>
        <v>100</v>
      </c>
      <c r="H10" s="6">
        <v>10</v>
      </c>
      <c r="I10" s="6">
        <v>8</v>
      </c>
      <c r="J10" s="6">
        <v>6</v>
      </c>
      <c r="K10" s="6"/>
      <c r="L10" s="6">
        <f>'Chi tiết 4.5.1 (1)'!H11+'Chi tiết 4.5.1 (1)'!H17</f>
        <v>220</v>
      </c>
      <c r="M10" s="7">
        <f>'Chi tiết 4.5.1 (1)'!I11+'Chi tiết 4.5.1 (1)'!I17</f>
        <v>1740</v>
      </c>
      <c r="N10" s="7">
        <f>'Chi tiết 4.5.1 (1)'!J11+'Chi tiết 4.5.1 (1)'!J17</f>
        <v>801</v>
      </c>
    </row>
    <row r="11" spans="1:14" s="4" customFormat="1" ht="23.25" customHeight="1">
      <c r="A11" s="406"/>
      <c r="B11" s="5" t="s">
        <v>20</v>
      </c>
      <c r="C11" s="6">
        <f>'Chi tiết 4.5.1 (1)'!C12+'Chi tiết 4.5.1 (1)'!C18</f>
        <v>20</v>
      </c>
      <c r="D11" s="6">
        <f>'Chi tiết 4.5.1 (1)'!D12+'Chi tiết 4.5.1 (1)'!D18</f>
        <v>30</v>
      </c>
      <c r="E11" s="6">
        <f>'Chi tiết 4.5.1 (1)'!E12+'Chi tiết 4.5.1 (1)'!E18</f>
        <v>40</v>
      </c>
      <c r="F11" s="6">
        <f>'Chi tiết 4.5.1 (1)'!F12+'Chi tiết 4.5.1 (1)'!F18</f>
        <v>0</v>
      </c>
      <c r="G11" s="6">
        <f t="shared" si="0"/>
        <v>90</v>
      </c>
      <c r="H11" s="6">
        <v>7</v>
      </c>
      <c r="I11" s="6">
        <v>5</v>
      </c>
      <c r="J11" s="6">
        <v>3</v>
      </c>
      <c r="K11" s="6"/>
      <c r="L11" s="6">
        <f>'Chi tiết 4.5.1 (1)'!H12+'Chi tiết 4.5.1 (1)'!H18</f>
        <v>190</v>
      </c>
      <c r="M11" s="7">
        <f>'Chi tiết 4.5.1 (1)'!I12+'Chi tiết 4.5.1 (1)'!I18</f>
        <v>870</v>
      </c>
      <c r="N11" s="7">
        <f>'Chi tiết 4.5.1 (1)'!J12+'Chi tiết 4.5.1 (1)'!J18</f>
        <v>411</v>
      </c>
    </row>
    <row r="12" spans="1:14" s="4" customFormat="1" ht="23.25" customHeight="1">
      <c r="A12" s="8"/>
      <c r="B12" s="9" t="s">
        <v>21</v>
      </c>
      <c r="C12" s="3">
        <f>SUM(C6:C11)</f>
        <v>305</v>
      </c>
      <c r="D12" s="3">
        <f>SUM(D6:D11)</f>
        <v>380</v>
      </c>
      <c r="E12" s="3">
        <f>SUM(E6:E11)</f>
        <v>515</v>
      </c>
      <c r="F12" s="3">
        <f>SUM(F6:F11)</f>
        <v>5</v>
      </c>
      <c r="G12" s="3">
        <f>SUM(G6:G11)</f>
        <v>1200</v>
      </c>
      <c r="H12" s="3"/>
      <c r="I12" s="3"/>
      <c r="J12" s="3"/>
      <c r="K12" s="3"/>
      <c r="L12" s="3">
        <f>SUM(L6:L11)</f>
        <v>2775</v>
      </c>
      <c r="M12" s="10">
        <f>SUM(M6:M11)</f>
        <v>38156</v>
      </c>
      <c r="N12" s="10">
        <f>SUM(N6:N11)</f>
        <v>17014.5</v>
      </c>
    </row>
    <row r="13" spans="1:14" s="4" customFormat="1" ht="23.25" customHeight="1">
      <c r="A13" s="11"/>
      <c r="B13" s="12" t="s">
        <v>22</v>
      </c>
      <c r="C13" s="407">
        <f>M12+N12</f>
        <v>55170.5</v>
      </c>
      <c r="D13" s="407"/>
      <c r="E13" s="407"/>
      <c r="F13" s="13" t="str">
        <f>'Chi tiết 4.5.1 (1)'!F20</f>
        <v>Bằng chữ: Năm mươi lăm tỷ, một trăm bảy mươi mốt triệu đồng./.</v>
      </c>
      <c r="G13" s="2"/>
      <c r="H13" s="14"/>
      <c r="I13" s="14"/>
      <c r="J13" s="14"/>
      <c r="K13" s="13"/>
      <c r="L13" s="2"/>
      <c r="M13" s="2"/>
      <c r="N13" s="2"/>
    </row>
    <row r="14" spans="1:14" s="4" customFormat="1" ht="27" customHeight="1">
      <c r="A14" s="15"/>
      <c r="B14" s="16"/>
      <c r="C14" s="17"/>
      <c r="D14" s="17"/>
      <c r="E14" s="17"/>
      <c r="F14" s="17"/>
      <c r="G14" s="17"/>
      <c r="H14" s="17"/>
      <c r="I14" s="17"/>
      <c r="J14" s="17"/>
      <c r="K14" s="17"/>
      <c r="L14" s="17"/>
      <c r="M14" s="18"/>
      <c r="N14" s="18"/>
    </row>
    <row r="15" spans="1:14" s="4" customFormat="1" ht="36" customHeight="1">
      <c r="A15" s="408" t="s">
        <v>0</v>
      </c>
      <c r="B15" s="408" t="s">
        <v>3</v>
      </c>
      <c r="C15" s="410" t="s">
        <v>4</v>
      </c>
      <c r="D15" s="410"/>
      <c r="E15" s="410"/>
      <c r="F15" s="410"/>
      <c r="G15" s="410"/>
      <c r="H15" s="401" t="s">
        <v>5</v>
      </c>
      <c r="I15" s="402"/>
      <c r="J15" s="402"/>
      <c r="K15" s="403"/>
      <c r="L15" s="412" t="s">
        <v>35</v>
      </c>
      <c r="M15" s="401" t="s">
        <v>6</v>
      </c>
      <c r="N15" s="403"/>
    </row>
    <row r="16" spans="1:14" s="4" customFormat="1" ht="27" customHeight="1">
      <c r="A16" s="409"/>
      <c r="B16" s="409"/>
      <c r="C16" s="3" t="s">
        <v>7</v>
      </c>
      <c r="D16" s="3" t="s">
        <v>8</v>
      </c>
      <c r="E16" s="3" t="s">
        <v>9</v>
      </c>
      <c r="F16" s="3" t="s">
        <v>10</v>
      </c>
      <c r="G16" s="3" t="s">
        <v>11</v>
      </c>
      <c r="H16" s="3" t="s">
        <v>7</v>
      </c>
      <c r="I16" s="3" t="s">
        <v>8</v>
      </c>
      <c r="J16" s="3" t="s">
        <v>9</v>
      </c>
      <c r="K16" s="3" t="s">
        <v>10</v>
      </c>
      <c r="L16" s="413"/>
      <c r="M16" s="3" t="s">
        <v>12</v>
      </c>
      <c r="N16" s="3" t="s">
        <v>13</v>
      </c>
    </row>
    <row r="17" spans="1:14" s="4" customFormat="1" ht="21" customHeight="1">
      <c r="A17" s="404" t="s">
        <v>23</v>
      </c>
      <c r="B17" s="5" t="s">
        <v>24</v>
      </c>
      <c r="C17" s="6">
        <f>'Chi tiết 4.5.1 (2)'!C7+'Chi tiết 4.5.1 (2)'!C13</f>
        <v>55</v>
      </c>
      <c r="D17" s="6">
        <f>'Chi tiết 4.5.1 (2)'!D7+'Chi tiết 4.5.1 (2)'!D13</f>
        <v>70</v>
      </c>
      <c r="E17" s="6">
        <f>'Chi tiết 4.5.1 (2)'!E7+'Chi tiết 4.5.1 (2)'!E13</f>
        <v>95</v>
      </c>
      <c r="F17" s="6">
        <f>'Chi tiết 4.5.1 (2)'!F7+'Chi tiết 4.5.1 (2)'!F13</f>
        <v>2</v>
      </c>
      <c r="G17" s="6">
        <f t="shared" ref="G17" si="1">SUM(C17:E17)</f>
        <v>220</v>
      </c>
      <c r="H17" s="6">
        <v>50</v>
      </c>
      <c r="I17" s="6">
        <v>30</v>
      </c>
      <c r="J17" s="6">
        <v>20</v>
      </c>
      <c r="K17" s="6">
        <v>30</v>
      </c>
      <c r="L17" s="6">
        <f>'Chi tiết 4.5.1 (2)'!H7+'Chi tiết 4.5.1 (2)'!H13</f>
        <v>582</v>
      </c>
      <c r="M17" s="7">
        <f>'Chi tiết 4.5.1 (2)'!I7+'Chi tiết 4.5.1 (2)'!I13</f>
        <v>17610</v>
      </c>
      <c r="N17" s="7">
        <f>'Chi tiết 4.5.1 (2)'!J7+'Chi tiết 4.5.1 (2)'!J13</f>
        <v>8565</v>
      </c>
    </row>
    <row r="18" spans="1:14" s="4" customFormat="1" ht="21" customHeight="1">
      <c r="A18" s="405"/>
      <c r="B18" s="5" t="s">
        <v>16</v>
      </c>
      <c r="C18" s="6">
        <f>'Chi tiết 4.5.1 (2)'!C8+'Chi tiết 4.5.1 (2)'!C14</f>
        <v>90</v>
      </c>
      <c r="D18" s="6">
        <f>'Chi tiết 4.5.1 (2)'!D8+'Chi tiết 4.5.1 (2)'!D14</f>
        <v>120</v>
      </c>
      <c r="E18" s="6">
        <f>'Chi tiết 4.5.1 (2)'!E8+'Chi tiết 4.5.1 (2)'!E14</f>
        <v>170</v>
      </c>
      <c r="F18" s="6">
        <f>'Chi tiết 4.5.1 (2)'!F8+'Chi tiết 4.5.1 (2)'!F14</f>
        <v>1</v>
      </c>
      <c r="G18" s="6">
        <f>SUM(C18:E18)</f>
        <v>380</v>
      </c>
      <c r="H18" s="6">
        <v>20</v>
      </c>
      <c r="I18" s="6">
        <v>14</v>
      </c>
      <c r="J18" s="6">
        <v>8</v>
      </c>
      <c r="K18" s="6">
        <v>30</v>
      </c>
      <c r="L18" s="6">
        <f>'Chi tiết 4.5.1 (2)'!H8+'Chi tiết 4.5.1 (2)'!H14</f>
        <v>861</v>
      </c>
      <c r="M18" s="7">
        <f>'Chi tiết 4.5.1 (2)'!I8+'Chi tiết 4.5.1 (2)'!I14</f>
        <v>9160</v>
      </c>
      <c r="N18" s="7">
        <f>'Chi tiết 4.5.1 (2)'!J8+'Chi tiết 4.5.1 (2)'!J14</f>
        <v>5240.5</v>
      </c>
    </row>
    <row r="19" spans="1:14" s="4" customFormat="1" ht="21" customHeight="1">
      <c r="A19" s="405"/>
      <c r="B19" s="5" t="s">
        <v>17</v>
      </c>
      <c r="C19" s="6">
        <f>'Chi tiết 4.5.1 (2)'!C9+'Chi tiết 4.5.1 (2)'!C15</f>
        <v>70</v>
      </c>
      <c r="D19" s="6">
        <f>'Chi tiết 4.5.1 (2)'!D9+'Chi tiết 4.5.1 (2)'!D15</f>
        <v>80</v>
      </c>
      <c r="E19" s="6">
        <f>'Chi tiết 4.5.1 (2)'!E9+'Chi tiết 4.5.1 (2)'!E15</f>
        <v>100</v>
      </c>
      <c r="F19" s="6">
        <f>'Chi tiết 4.5.1 (2)'!F9+'Chi tiết 4.5.1 (2)'!F15</f>
        <v>2</v>
      </c>
      <c r="G19" s="6">
        <f t="shared" ref="G19:G22" si="2">SUM(C19:E19)</f>
        <v>250</v>
      </c>
      <c r="H19" s="6">
        <v>20</v>
      </c>
      <c r="I19" s="6">
        <v>14</v>
      </c>
      <c r="J19" s="6">
        <v>8</v>
      </c>
      <c r="K19" s="6">
        <v>13</v>
      </c>
      <c r="L19" s="6">
        <f>'Chi tiết 4.5.1 (2)'!H9+'Chi tiết 4.5.1 (2)'!H15</f>
        <v>612</v>
      </c>
      <c r="M19" s="7">
        <f>'Chi tiết 4.5.1 (2)'!I9+'Chi tiết 4.5.1 (2)'!I15</f>
        <v>7906</v>
      </c>
      <c r="N19" s="7">
        <f>'Chi tiết 4.5.1 (2)'!J9+'Chi tiết 4.5.1 (2)'!J15</f>
        <v>4087</v>
      </c>
    </row>
    <row r="20" spans="1:14" s="4" customFormat="1" ht="21" customHeight="1">
      <c r="A20" s="405"/>
      <c r="B20" s="5" t="s">
        <v>18</v>
      </c>
      <c r="C20" s="6">
        <f>'Chi tiết 4.5.1 (2)'!C10+'Chi tiết 4.5.1 (2)'!C16</f>
        <v>35</v>
      </c>
      <c r="D20" s="6">
        <f>'Chi tiết 4.5.1 (2)'!D10+'Chi tiết 4.5.1 (2)'!D16</f>
        <v>40</v>
      </c>
      <c r="E20" s="6">
        <f>'Chi tiết 4.5.1 (2)'!E10+'Chi tiết 4.5.1 (2)'!E16</f>
        <v>55</v>
      </c>
      <c r="F20" s="6">
        <f>'Chi tiết 4.5.1 (2)'!F10+'Chi tiết 4.5.1 (2)'!F16</f>
        <v>0</v>
      </c>
      <c r="G20" s="6">
        <f t="shared" si="2"/>
        <v>130</v>
      </c>
      <c r="H20" s="6">
        <v>13</v>
      </c>
      <c r="I20" s="6">
        <v>10</v>
      </c>
      <c r="J20" s="6">
        <v>7</v>
      </c>
      <c r="K20" s="6">
        <v>13</v>
      </c>
      <c r="L20" s="6">
        <f>'Chi tiết 4.5.1 (2)'!H10+'Chi tiết 4.5.1 (2)'!H16</f>
        <v>370</v>
      </c>
      <c r="M20" s="7">
        <f>'Chi tiết 4.5.1 (2)'!I10+'Chi tiết 4.5.1 (2)'!I16</f>
        <v>3520</v>
      </c>
      <c r="N20" s="7">
        <f>'Chi tiết 4.5.1 (2)'!J10+'Chi tiết 4.5.1 (2)'!J16</f>
        <v>1610.5</v>
      </c>
    </row>
    <row r="21" spans="1:14" s="4" customFormat="1" ht="21" customHeight="1">
      <c r="A21" s="405"/>
      <c r="B21" s="5" t="s">
        <v>19</v>
      </c>
      <c r="C21" s="6">
        <f>'Chi tiết 4.5.1 (2)'!C11+'Chi tiết 4.5.1 (2)'!C17</f>
        <v>30</v>
      </c>
      <c r="D21" s="6">
        <f>'Chi tiết 4.5.1 (2)'!D11+'Chi tiết 4.5.1 (2)'!D17</f>
        <v>30</v>
      </c>
      <c r="E21" s="6">
        <f>'Chi tiết 4.5.1 (2)'!E11+'Chi tiết 4.5.1 (2)'!E17</f>
        <v>40</v>
      </c>
      <c r="F21" s="6">
        <f>'Chi tiết 4.5.1 (2)'!F11+'Chi tiết 4.5.1 (2)'!F17</f>
        <v>0</v>
      </c>
      <c r="G21" s="6">
        <f t="shared" si="2"/>
        <v>100</v>
      </c>
      <c r="H21" s="6">
        <v>10</v>
      </c>
      <c r="I21" s="6">
        <v>8</v>
      </c>
      <c r="J21" s="6">
        <v>6</v>
      </c>
      <c r="K21" s="6"/>
      <c r="L21" s="6">
        <f>'Chi tiết 4.5.1 (2)'!H11+'Chi tiết 4.5.1 (2)'!H17</f>
        <v>220</v>
      </c>
      <c r="M21" s="7">
        <f>'Chi tiết 4.5.1 (2)'!I11+'Chi tiết 4.5.1 (2)'!I17</f>
        <v>1740</v>
      </c>
      <c r="N21" s="7">
        <f>'Chi tiết 4.5.1 (2)'!J11+'Chi tiết 4.5.1 (2)'!J17</f>
        <v>1140</v>
      </c>
    </row>
    <row r="22" spans="1:14" s="4" customFormat="1" ht="21" customHeight="1">
      <c r="A22" s="406"/>
      <c r="B22" s="5" t="s">
        <v>20</v>
      </c>
      <c r="C22" s="6">
        <f>'Chi tiết 4.5.1 (2)'!C12+'Chi tiết 4.5.1 (2)'!C18</f>
        <v>20</v>
      </c>
      <c r="D22" s="6">
        <f>'Chi tiết 4.5.1 (2)'!D12+'Chi tiết 4.5.1 (2)'!D18</f>
        <v>30</v>
      </c>
      <c r="E22" s="6">
        <f>'Chi tiết 4.5.1 (2)'!E12+'Chi tiết 4.5.1 (2)'!E18</f>
        <v>40</v>
      </c>
      <c r="F22" s="6">
        <f>'Chi tiết 4.5.1 (2)'!F12+'Chi tiết 4.5.1 (2)'!F18</f>
        <v>0</v>
      </c>
      <c r="G22" s="6">
        <f t="shared" si="2"/>
        <v>90</v>
      </c>
      <c r="H22" s="6">
        <v>7</v>
      </c>
      <c r="I22" s="6">
        <v>5</v>
      </c>
      <c r="J22" s="6">
        <v>3</v>
      </c>
      <c r="K22" s="6"/>
      <c r="L22" s="6">
        <f>'Chi tiết 4.5.1 (2)'!H12+'Chi tiết 4.5.1 (2)'!H18</f>
        <v>190</v>
      </c>
      <c r="M22" s="7">
        <f>'Chi tiết 4.5.1 (2)'!I12+'Chi tiết 4.5.1 (2)'!I18</f>
        <v>870</v>
      </c>
      <c r="N22" s="7">
        <f>'Chi tiết 4.5.1 (2)'!J12+'Chi tiết 4.5.1 (2)'!J18</f>
        <v>438.75</v>
      </c>
    </row>
    <row r="23" spans="1:14" s="4" customFormat="1" ht="21" customHeight="1">
      <c r="A23" s="8"/>
      <c r="B23" s="9" t="s">
        <v>21</v>
      </c>
      <c r="C23" s="3">
        <f>SUM(C17:C22)</f>
        <v>300</v>
      </c>
      <c r="D23" s="3">
        <f>SUM(D17:D22)</f>
        <v>370</v>
      </c>
      <c r="E23" s="3">
        <f>SUM(E17:E22)</f>
        <v>500</v>
      </c>
      <c r="F23" s="3">
        <f>SUM(F17:F22)</f>
        <v>5</v>
      </c>
      <c r="G23" s="3">
        <f>SUM(G17:G22)</f>
        <v>1170</v>
      </c>
      <c r="H23" s="6"/>
      <c r="I23" s="6"/>
      <c r="J23" s="6"/>
      <c r="K23" s="6"/>
      <c r="L23" s="3">
        <f>SUM(L17:L22)</f>
        <v>2835</v>
      </c>
      <c r="M23" s="10">
        <f>SUM(M17:M22)</f>
        <v>40806</v>
      </c>
      <c r="N23" s="10">
        <f>SUM(N17:N22)</f>
        <v>21081.75</v>
      </c>
    </row>
    <row r="24" spans="1:14" s="4" customFormat="1" ht="23.25" customHeight="1">
      <c r="A24" s="11"/>
      <c r="B24" s="12" t="s">
        <v>22</v>
      </c>
      <c r="C24" s="407">
        <f>M23+N23</f>
        <v>61887.75</v>
      </c>
      <c r="D24" s="407"/>
      <c r="E24" s="407"/>
      <c r="F24" s="13" t="str">
        <f>'Chi tiết 4.5.1 (2)'!F20</f>
        <v>Bằng chữ: Sáu mươi mốt tỷ, tám trăm tám mươi tám triệu đồng./.</v>
      </c>
      <c r="G24" s="2"/>
      <c r="H24" s="14"/>
      <c r="I24" s="14"/>
      <c r="J24" s="14"/>
      <c r="K24" s="13"/>
      <c r="L24" s="2"/>
      <c r="M24" s="2"/>
      <c r="N24" s="2"/>
    </row>
    <row r="25" spans="1:14" ht="38.25" customHeight="1">
      <c r="A25" s="400" t="s">
        <v>121</v>
      </c>
      <c r="B25" s="400"/>
      <c r="C25" s="400"/>
      <c r="D25" s="400"/>
      <c r="E25" s="400"/>
      <c r="F25" s="400"/>
      <c r="G25" s="400"/>
      <c r="H25" s="400"/>
      <c r="I25" s="400"/>
      <c r="J25" s="400"/>
      <c r="K25" s="400"/>
      <c r="L25" s="400"/>
      <c r="M25" s="400"/>
      <c r="N25" s="400"/>
    </row>
  </sheetData>
  <mergeCells count="19">
    <mergeCell ref="B1:L1"/>
    <mergeCell ref="L15:L16"/>
    <mergeCell ref="M15:N15"/>
    <mergeCell ref="A17:A22"/>
    <mergeCell ref="C24:E24"/>
    <mergeCell ref="A2:N2"/>
    <mergeCell ref="A4:A5"/>
    <mergeCell ref="B4:B5"/>
    <mergeCell ref="C4:G4"/>
    <mergeCell ref="H4:K4"/>
    <mergeCell ref="L4:L5"/>
    <mergeCell ref="M4:N4"/>
    <mergeCell ref="A25:N25"/>
    <mergeCell ref="H15:K15"/>
    <mergeCell ref="A6:A11"/>
    <mergeCell ref="C13:E13"/>
    <mergeCell ref="A15:A16"/>
    <mergeCell ref="B15:B16"/>
    <mergeCell ref="C15:G15"/>
  </mergeCells>
  <pageMargins left="0.31496062992125984" right="0.31496062992125984" top="0.55118110236220474" bottom="0.55118110236220474" header="0.31496062992125984" footer="0.31496062992125984"/>
  <pageSetup paperSize="9" scale="67" fitToHeight="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6F7D-B877-4403-88B4-81FB97B4F394}">
  <sheetPr>
    <pageSetUpPr fitToPage="1"/>
  </sheetPr>
  <dimension ref="A1:J21"/>
  <sheetViews>
    <sheetView workbookViewId="0">
      <selection activeCell="A2" sqref="A2:J2"/>
    </sheetView>
  </sheetViews>
  <sheetFormatPr defaultColWidth="9.140625" defaultRowHeight="15.75"/>
  <cols>
    <col min="1" max="1" width="11" style="2" customWidth="1"/>
    <col min="2" max="2" width="50.7109375" style="2" bestFit="1" customWidth="1"/>
    <col min="3" max="6" width="9.42578125" style="2" customWidth="1"/>
    <col min="7" max="7" width="10.7109375" style="2" customWidth="1"/>
    <col min="8" max="8" width="18.5703125" style="2" customWidth="1"/>
    <col min="9" max="10" width="21.140625" style="2" customWidth="1"/>
    <col min="11" max="16384" width="9.140625" style="2"/>
  </cols>
  <sheetData>
    <row r="1" spans="1:10">
      <c r="B1" s="411" t="s">
        <v>290</v>
      </c>
      <c r="C1" s="411"/>
      <c r="D1" s="411"/>
      <c r="E1" s="411"/>
      <c r="F1" s="411"/>
      <c r="G1" s="411"/>
      <c r="H1" s="411"/>
    </row>
    <row r="2" spans="1:10" ht="19.5" customHeight="1">
      <c r="A2" s="414" t="s">
        <v>32</v>
      </c>
      <c r="B2" s="415"/>
      <c r="C2" s="415"/>
      <c r="D2" s="415"/>
      <c r="E2" s="415"/>
      <c r="F2" s="415"/>
      <c r="G2" s="415"/>
      <c r="H2" s="415"/>
      <c r="I2" s="415"/>
      <c r="J2" s="415"/>
    </row>
    <row r="3" spans="1:10" ht="16.5">
      <c r="A3" s="416" t="s">
        <v>25</v>
      </c>
      <c r="B3" s="416"/>
      <c r="C3" s="416"/>
      <c r="D3" s="416"/>
      <c r="E3" s="416"/>
      <c r="F3" s="416"/>
      <c r="G3" s="416"/>
      <c r="H3" s="416"/>
      <c r="I3" s="416"/>
      <c r="J3" s="416"/>
    </row>
    <row r="5" spans="1:10" ht="36" customHeight="1">
      <c r="A5" s="408" t="s">
        <v>26</v>
      </c>
      <c r="B5" s="408" t="s">
        <v>3</v>
      </c>
      <c r="C5" s="410" t="s">
        <v>4</v>
      </c>
      <c r="D5" s="410"/>
      <c r="E5" s="410"/>
      <c r="F5" s="410"/>
      <c r="G5" s="410"/>
      <c r="H5" s="412" t="s">
        <v>27</v>
      </c>
      <c r="I5" s="401" t="s">
        <v>6</v>
      </c>
      <c r="J5" s="403"/>
    </row>
    <row r="6" spans="1:10" s="4" customFormat="1" ht="27" customHeight="1">
      <c r="A6" s="409"/>
      <c r="B6" s="409"/>
      <c r="C6" s="3" t="s">
        <v>7</v>
      </c>
      <c r="D6" s="3" t="s">
        <v>8</v>
      </c>
      <c r="E6" s="3" t="s">
        <v>9</v>
      </c>
      <c r="F6" s="3" t="s">
        <v>10</v>
      </c>
      <c r="G6" s="3" t="s">
        <v>11</v>
      </c>
      <c r="H6" s="413"/>
      <c r="I6" s="3" t="s">
        <v>12</v>
      </c>
      <c r="J6" s="3" t="s">
        <v>13</v>
      </c>
    </row>
    <row r="7" spans="1:10" s="4" customFormat="1" ht="27" customHeight="1">
      <c r="A7" s="404" t="s">
        <v>28</v>
      </c>
      <c r="B7" s="5" t="s">
        <v>15</v>
      </c>
      <c r="C7" s="7">
        <v>40</v>
      </c>
      <c r="D7" s="7">
        <v>50</v>
      </c>
      <c r="E7" s="7">
        <v>70</v>
      </c>
      <c r="F7" s="7">
        <v>2</v>
      </c>
      <c r="G7" s="7">
        <f>SUM(C7:E7)</f>
        <v>160</v>
      </c>
      <c r="H7" s="7">
        <f>C7+D7+E7+F7</f>
        <v>162</v>
      </c>
      <c r="I7" s="7">
        <f>C7*35+D7*20+E7*15+F7*30</f>
        <v>3510</v>
      </c>
      <c r="J7" s="7">
        <f>I7*0.75</f>
        <v>2632.5</v>
      </c>
    </row>
    <row r="8" spans="1:10" s="4" customFormat="1" ht="27" customHeight="1">
      <c r="A8" s="405"/>
      <c r="B8" s="5" t="s">
        <v>16</v>
      </c>
      <c r="C8" s="60">
        <v>60</v>
      </c>
      <c r="D8" s="60">
        <v>80</v>
      </c>
      <c r="E8" s="60">
        <v>120</v>
      </c>
      <c r="F8" s="7">
        <v>1</v>
      </c>
      <c r="G8" s="7">
        <f t="shared" ref="G8:G18" si="0">SUM(C8:E8)</f>
        <v>260</v>
      </c>
      <c r="H8" s="7">
        <f t="shared" ref="H8:H12" si="1">C8+D8+E8+F8</f>
        <v>261</v>
      </c>
      <c r="I8" s="7">
        <f>C8*20+D8*14+E8*8+F8*30</f>
        <v>3310</v>
      </c>
      <c r="J8" s="7">
        <f t="shared" ref="J8:J12" si="2">I8*0.75</f>
        <v>2482.5</v>
      </c>
    </row>
    <row r="9" spans="1:10" s="4" customFormat="1" ht="27" customHeight="1">
      <c r="A9" s="405"/>
      <c r="B9" s="5" t="s">
        <v>17</v>
      </c>
      <c r="C9" s="60">
        <v>50</v>
      </c>
      <c r="D9" s="60">
        <v>50</v>
      </c>
      <c r="E9" s="60">
        <v>60</v>
      </c>
      <c r="F9" s="60">
        <v>2</v>
      </c>
      <c r="G9" s="7">
        <f t="shared" si="0"/>
        <v>160</v>
      </c>
      <c r="H9" s="7">
        <f t="shared" si="1"/>
        <v>162</v>
      </c>
      <c r="I9" s="7">
        <f>C9*20+D9*14+E9*8+F9*13</f>
        <v>2206</v>
      </c>
      <c r="J9" s="7">
        <f t="shared" si="2"/>
        <v>1654.5</v>
      </c>
    </row>
    <row r="10" spans="1:10" s="4" customFormat="1" ht="27" customHeight="1">
      <c r="A10" s="405"/>
      <c r="B10" s="5" t="s">
        <v>18</v>
      </c>
      <c r="C10" s="60">
        <v>20</v>
      </c>
      <c r="D10" s="60">
        <v>20</v>
      </c>
      <c r="E10" s="60">
        <v>30</v>
      </c>
      <c r="F10" s="7"/>
      <c r="G10" s="7">
        <f t="shared" si="0"/>
        <v>70</v>
      </c>
      <c r="H10" s="7">
        <f t="shared" si="1"/>
        <v>70</v>
      </c>
      <c r="I10" s="7">
        <f>C10*13+D10*10+E10*7+F10*13</f>
        <v>670</v>
      </c>
      <c r="J10" s="7">
        <f t="shared" si="2"/>
        <v>502.5</v>
      </c>
    </row>
    <row r="11" spans="1:10" s="4" customFormat="1" ht="27" customHeight="1">
      <c r="A11" s="405"/>
      <c r="B11" s="5" t="s">
        <v>19</v>
      </c>
      <c r="C11" s="60">
        <v>20</v>
      </c>
      <c r="D11" s="60">
        <v>20</v>
      </c>
      <c r="E11" s="60">
        <v>30</v>
      </c>
      <c r="F11" s="7"/>
      <c r="G11" s="7">
        <f t="shared" si="0"/>
        <v>70</v>
      </c>
      <c r="H11" s="7">
        <f t="shared" si="1"/>
        <v>70</v>
      </c>
      <c r="I11" s="7">
        <f>C11*10+D11*8+E11*6</f>
        <v>540</v>
      </c>
      <c r="J11" s="7">
        <f t="shared" si="2"/>
        <v>405</v>
      </c>
    </row>
    <row r="12" spans="1:10" s="4" customFormat="1" ht="27" customHeight="1">
      <c r="A12" s="406"/>
      <c r="B12" s="5" t="s">
        <v>20</v>
      </c>
      <c r="C12" s="60">
        <v>15</v>
      </c>
      <c r="D12" s="60">
        <v>20</v>
      </c>
      <c r="E12" s="60">
        <v>30</v>
      </c>
      <c r="F12" s="7"/>
      <c r="G12" s="7">
        <f t="shared" si="0"/>
        <v>65</v>
      </c>
      <c r="H12" s="7">
        <f t="shared" si="1"/>
        <v>65</v>
      </c>
      <c r="I12" s="7">
        <f>C12*7+D12*5+E12*3</f>
        <v>295</v>
      </c>
      <c r="J12" s="7">
        <f t="shared" si="2"/>
        <v>221.25</v>
      </c>
    </row>
    <row r="13" spans="1:10" s="4" customFormat="1" ht="27" customHeight="1">
      <c r="A13" s="404" t="s">
        <v>29</v>
      </c>
      <c r="B13" s="5" t="s">
        <v>15</v>
      </c>
      <c r="C13" s="7">
        <v>20</v>
      </c>
      <c r="D13" s="7">
        <v>30</v>
      </c>
      <c r="E13" s="7">
        <v>40</v>
      </c>
      <c r="F13" s="7"/>
      <c r="G13" s="7">
        <f t="shared" si="0"/>
        <v>90</v>
      </c>
      <c r="H13" s="7">
        <f t="shared" ref="H13" si="3">(C13+D13+E13)*4</f>
        <v>360</v>
      </c>
      <c r="I13" s="7">
        <f>(C13*35*5)+(D13*20*5)+(E13*15*5)</f>
        <v>9500</v>
      </c>
      <c r="J13" s="7">
        <f>I13*0.33</f>
        <v>3135</v>
      </c>
    </row>
    <row r="14" spans="1:10" s="4" customFormat="1" ht="27" customHeight="1">
      <c r="A14" s="405"/>
      <c r="B14" s="5" t="s">
        <v>16</v>
      </c>
      <c r="C14" s="7">
        <v>30</v>
      </c>
      <c r="D14" s="7">
        <v>40</v>
      </c>
      <c r="E14" s="7">
        <v>50</v>
      </c>
      <c r="F14" s="7"/>
      <c r="G14" s="7">
        <f t="shared" si="0"/>
        <v>120</v>
      </c>
      <c r="H14" s="7">
        <f>(C14+D14+E14)*5</f>
        <v>600</v>
      </c>
      <c r="I14" s="7">
        <f>(C14*20*5)+(D14*14*5)+(E14*8*5)</f>
        <v>7800</v>
      </c>
      <c r="J14" s="7">
        <f t="shared" ref="J14:J18" si="4">I14*0.33</f>
        <v>2574</v>
      </c>
    </row>
    <row r="15" spans="1:10" s="4" customFormat="1" ht="27" customHeight="1">
      <c r="A15" s="405"/>
      <c r="B15" s="5" t="s">
        <v>17</v>
      </c>
      <c r="C15" s="7">
        <v>20</v>
      </c>
      <c r="D15" s="7">
        <v>30</v>
      </c>
      <c r="E15" s="7">
        <v>40</v>
      </c>
      <c r="F15" s="7"/>
      <c r="G15" s="7">
        <f t="shared" si="0"/>
        <v>90</v>
      </c>
      <c r="H15" s="7">
        <f t="shared" ref="H15:H18" si="5">(C15+D15+E15)*5</f>
        <v>450</v>
      </c>
      <c r="I15" s="7">
        <f>(C15*20*5)+(D15*14*5)+(E15*8*5)</f>
        <v>5700</v>
      </c>
      <c r="J15" s="7">
        <f t="shared" si="4"/>
        <v>1881</v>
      </c>
    </row>
    <row r="16" spans="1:10" s="4" customFormat="1" ht="27" customHeight="1">
      <c r="A16" s="405"/>
      <c r="B16" s="5" t="s">
        <v>18</v>
      </c>
      <c r="C16" s="7">
        <v>15</v>
      </c>
      <c r="D16" s="7">
        <v>20</v>
      </c>
      <c r="E16" s="7">
        <v>25</v>
      </c>
      <c r="F16" s="7"/>
      <c r="G16" s="7">
        <f t="shared" si="0"/>
        <v>60</v>
      </c>
      <c r="H16" s="7">
        <f t="shared" si="5"/>
        <v>300</v>
      </c>
      <c r="I16" s="7">
        <f>(C16*13*5)+(D16*10*5)+(E16*7*5)</f>
        <v>2850</v>
      </c>
      <c r="J16" s="7">
        <f t="shared" si="4"/>
        <v>940.5</v>
      </c>
    </row>
    <row r="17" spans="1:10" s="4" customFormat="1" ht="27" customHeight="1">
      <c r="A17" s="405"/>
      <c r="B17" s="5" t="s">
        <v>19</v>
      </c>
      <c r="C17" s="7">
        <v>10</v>
      </c>
      <c r="D17" s="7">
        <v>10</v>
      </c>
      <c r="E17" s="7">
        <v>10</v>
      </c>
      <c r="F17" s="7"/>
      <c r="G17" s="7">
        <f t="shared" si="0"/>
        <v>30</v>
      </c>
      <c r="H17" s="7">
        <f t="shared" si="5"/>
        <v>150</v>
      </c>
      <c r="I17" s="7">
        <f>(C17*10*5)+(D17*8*5)+(E17*6*5)</f>
        <v>1200</v>
      </c>
      <c r="J17" s="7">
        <f t="shared" si="4"/>
        <v>396</v>
      </c>
    </row>
    <row r="18" spans="1:10" s="4" customFormat="1" ht="27" customHeight="1">
      <c r="A18" s="406"/>
      <c r="B18" s="5" t="s">
        <v>20</v>
      </c>
      <c r="C18" s="7">
        <v>5</v>
      </c>
      <c r="D18" s="7">
        <v>10</v>
      </c>
      <c r="E18" s="7">
        <v>10</v>
      </c>
      <c r="F18" s="7"/>
      <c r="G18" s="7">
        <f t="shared" si="0"/>
        <v>25</v>
      </c>
      <c r="H18" s="7">
        <f t="shared" si="5"/>
        <v>125</v>
      </c>
      <c r="I18" s="7">
        <f>(C18*7*5)+(D18*5*5)+(E18*3*5)</f>
        <v>575</v>
      </c>
      <c r="J18" s="7">
        <f t="shared" si="4"/>
        <v>189.75</v>
      </c>
    </row>
    <row r="19" spans="1:10" s="4" customFormat="1" ht="27" customHeight="1">
      <c r="A19" s="19"/>
      <c r="B19" s="20" t="s">
        <v>30</v>
      </c>
      <c r="C19" s="10">
        <f t="shared" ref="C19:J19" si="6">SUM(C7:C18)</f>
        <v>305</v>
      </c>
      <c r="D19" s="10">
        <f t="shared" si="6"/>
        <v>380</v>
      </c>
      <c r="E19" s="10">
        <f t="shared" si="6"/>
        <v>515</v>
      </c>
      <c r="F19" s="10">
        <f t="shared" si="6"/>
        <v>5</v>
      </c>
      <c r="G19" s="10">
        <f>SUM(G7:G18)</f>
        <v>1200</v>
      </c>
      <c r="H19" s="10">
        <f t="shared" si="6"/>
        <v>2775</v>
      </c>
      <c r="I19" s="10">
        <f t="shared" si="6"/>
        <v>38156</v>
      </c>
      <c r="J19" s="10">
        <f t="shared" si="6"/>
        <v>17014.5</v>
      </c>
    </row>
    <row r="20" spans="1:10" ht="24.75" customHeight="1">
      <c r="B20" s="12" t="s">
        <v>22</v>
      </c>
      <c r="C20" s="407">
        <f>(I19+J19)</f>
        <v>55170.5</v>
      </c>
      <c r="D20" s="407"/>
      <c r="E20" s="407"/>
      <c r="F20" s="13" t="s">
        <v>273</v>
      </c>
    </row>
    <row r="21" spans="1:10" ht="38.25" customHeight="1">
      <c r="A21" s="400" t="s">
        <v>120</v>
      </c>
      <c r="B21" s="400"/>
      <c r="C21" s="400"/>
      <c r="D21" s="400"/>
      <c r="E21" s="400"/>
      <c r="F21" s="400"/>
      <c r="G21" s="400"/>
      <c r="H21" s="400"/>
      <c r="I21" s="400"/>
      <c r="J21" s="400"/>
    </row>
  </sheetData>
  <mergeCells count="12">
    <mergeCell ref="B1:H1"/>
    <mergeCell ref="A7:A12"/>
    <mergeCell ref="A13:A18"/>
    <mergeCell ref="C20:E20"/>
    <mergeCell ref="A21:J21"/>
    <mergeCell ref="A2:J2"/>
    <mergeCell ref="A3:J3"/>
    <mergeCell ref="A5:A6"/>
    <mergeCell ref="B5:B6"/>
    <mergeCell ref="C5:G5"/>
    <mergeCell ref="H5:H6"/>
    <mergeCell ref="I5:J5"/>
  </mergeCells>
  <pageMargins left="0.31496062992125984" right="0.31496062992125984" top="0.55118110236220474" bottom="0.55118110236220474" header="0.31496062992125984" footer="0.31496062992125984"/>
  <pageSetup paperSize="9" scale="82" fitToHeight="0"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F540F-C0DA-40E6-A68F-703908D741EC}">
  <sheetPr>
    <pageSetUpPr fitToPage="1"/>
  </sheetPr>
  <dimension ref="A1:J21"/>
  <sheetViews>
    <sheetView workbookViewId="0">
      <selection activeCell="A2" sqref="A2:J2"/>
    </sheetView>
  </sheetViews>
  <sheetFormatPr defaultColWidth="9.140625" defaultRowHeight="15.75"/>
  <cols>
    <col min="1" max="1" width="11" style="2" customWidth="1"/>
    <col min="2" max="2" width="50.7109375" style="2" bestFit="1" customWidth="1"/>
    <col min="3" max="6" width="9.42578125" style="2" customWidth="1"/>
    <col min="7" max="7" width="10.7109375" style="2" customWidth="1"/>
    <col min="8" max="8" width="18.5703125" style="2" customWidth="1"/>
    <col min="9" max="10" width="21.140625" style="2" customWidth="1"/>
    <col min="11" max="16384" width="9.140625" style="2"/>
  </cols>
  <sheetData>
    <row r="1" spans="1:10">
      <c r="B1" s="251" t="s">
        <v>291</v>
      </c>
      <c r="C1" s="251"/>
      <c r="D1" s="251"/>
      <c r="E1" s="251"/>
      <c r="F1" s="251"/>
      <c r="G1" s="251"/>
      <c r="H1" s="251"/>
    </row>
    <row r="2" spans="1:10" ht="21" customHeight="1">
      <c r="A2" s="414" t="s">
        <v>34</v>
      </c>
      <c r="B2" s="415"/>
      <c r="C2" s="415"/>
      <c r="D2" s="415"/>
      <c r="E2" s="415"/>
      <c r="F2" s="415"/>
      <c r="G2" s="415"/>
      <c r="H2" s="415"/>
      <c r="I2" s="415"/>
      <c r="J2" s="415"/>
    </row>
    <row r="3" spans="1:10" ht="21" customHeight="1">
      <c r="A3" s="416" t="s">
        <v>31</v>
      </c>
      <c r="B3" s="416"/>
      <c r="C3" s="416"/>
      <c r="D3" s="416"/>
      <c r="E3" s="416"/>
      <c r="F3" s="416"/>
      <c r="G3" s="416"/>
      <c r="H3" s="416"/>
      <c r="I3" s="416"/>
      <c r="J3" s="416"/>
    </row>
    <row r="5" spans="1:10" ht="36" customHeight="1">
      <c r="A5" s="408" t="s">
        <v>26</v>
      </c>
      <c r="B5" s="408" t="s">
        <v>3</v>
      </c>
      <c r="C5" s="410" t="s">
        <v>4</v>
      </c>
      <c r="D5" s="410"/>
      <c r="E5" s="410"/>
      <c r="F5" s="410"/>
      <c r="G5" s="410"/>
      <c r="H5" s="412" t="s">
        <v>27</v>
      </c>
      <c r="I5" s="401" t="s">
        <v>6</v>
      </c>
      <c r="J5" s="403"/>
    </row>
    <row r="6" spans="1:10" s="4" customFormat="1" ht="27" customHeight="1">
      <c r="A6" s="409"/>
      <c r="B6" s="409"/>
      <c r="C6" s="3" t="s">
        <v>7</v>
      </c>
      <c r="D6" s="3" t="s">
        <v>8</v>
      </c>
      <c r="E6" s="3" t="s">
        <v>9</v>
      </c>
      <c r="F6" s="3" t="s">
        <v>10</v>
      </c>
      <c r="G6" s="3" t="s">
        <v>11</v>
      </c>
      <c r="H6" s="413"/>
      <c r="I6" s="3" t="s">
        <v>12</v>
      </c>
      <c r="J6" s="3" t="s">
        <v>13</v>
      </c>
    </row>
    <row r="7" spans="1:10" s="4" customFormat="1" ht="27" customHeight="1">
      <c r="A7" s="404" t="s">
        <v>28</v>
      </c>
      <c r="B7" s="5" t="s">
        <v>24</v>
      </c>
      <c r="C7" s="7">
        <v>35</v>
      </c>
      <c r="D7" s="7">
        <v>40</v>
      </c>
      <c r="E7" s="7">
        <v>55</v>
      </c>
      <c r="F7" s="7">
        <v>2</v>
      </c>
      <c r="G7" s="7">
        <f>SUM(C7:E7)</f>
        <v>130</v>
      </c>
      <c r="H7" s="7">
        <f>C7+D7+E7+F7</f>
        <v>132</v>
      </c>
      <c r="I7" s="7">
        <f>C7*50+D7*30+E7*20+F7*30</f>
        <v>4110</v>
      </c>
      <c r="J7" s="7">
        <f>I7</f>
        <v>4110</v>
      </c>
    </row>
    <row r="8" spans="1:10" s="4" customFormat="1" ht="27" customHeight="1">
      <c r="A8" s="405"/>
      <c r="B8" s="5" t="s">
        <v>16</v>
      </c>
      <c r="C8" s="60">
        <v>60</v>
      </c>
      <c r="D8" s="60">
        <v>80</v>
      </c>
      <c r="E8" s="60">
        <v>120</v>
      </c>
      <c r="F8" s="7">
        <v>1</v>
      </c>
      <c r="G8" s="7">
        <f t="shared" ref="G8:G18" si="0">SUM(C8:E8)</f>
        <v>260</v>
      </c>
      <c r="H8" s="7">
        <f t="shared" ref="H8:H12" si="1">C8+D8+E8+F8</f>
        <v>261</v>
      </c>
      <c r="I8" s="7">
        <f>C8*20+D8*14+E8*8+F8*30</f>
        <v>3310</v>
      </c>
      <c r="J8" s="7">
        <f>I8</f>
        <v>3310</v>
      </c>
    </row>
    <row r="9" spans="1:10" s="4" customFormat="1" ht="27" customHeight="1">
      <c r="A9" s="405"/>
      <c r="B9" s="5" t="s">
        <v>17</v>
      </c>
      <c r="C9" s="60">
        <v>50</v>
      </c>
      <c r="D9" s="60">
        <v>50</v>
      </c>
      <c r="E9" s="60">
        <v>60</v>
      </c>
      <c r="F9" s="60">
        <v>2</v>
      </c>
      <c r="G9" s="7">
        <f t="shared" si="0"/>
        <v>160</v>
      </c>
      <c r="H9" s="7">
        <f t="shared" si="1"/>
        <v>162</v>
      </c>
      <c r="I9" s="7">
        <f>C9*20+D9*14+E9*8+F9*13</f>
        <v>2206</v>
      </c>
      <c r="J9" s="7">
        <f t="shared" ref="J9:J12" si="2">I9</f>
        <v>2206</v>
      </c>
    </row>
    <row r="10" spans="1:10" s="4" customFormat="1" ht="27" customHeight="1">
      <c r="A10" s="405"/>
      <c r="B10" s="5" t="s">
        <v>18</v>
      </c>
      <c r="C10" s="60">
        <v>20</v>
      </c>
      <c r="D10" s="60">
        <v>20</v>
      </c>
      <c r="E10" s="60">
        <v>30</v>
      </c>
      <c r="F10" s="7"/>
      <c r="G10" s="7">
        <f t="shared" si="0"/>
        <v>70</v>
      </c>
      <c r="H10" s="7">
        <f t="shared" si="1"/>
        <v>70</v>
      </c>
      <c r="I10" s="7">
        <f>C10*13+D10*10+E10*7+F10*13</f>
        <v>670</v>
      </c>
      <c r="J10" s="7">
        <f t="shared" si="2"/>
        <v>670</v>
      </c>
    </row>
    <row r="11" spans="1:10" s="4" customFormat="1" ht="27" customHeight="1">
      <c r="A11" s="405"/>
      <c r="B11" s="5" t="s">
        <v>19</v>
      </c>
      <c r="C11" s="60">
        <v>20</v>
      </c>
      <c r="D11" s="60">
        <v>20</v>
      </c>
      <c r="E11" s="60">
        <v>30</v>
      </c>
      <c r="F11" s="7"/>
      <c r="G11" s="7">
        <f t="shared" si="0"/>
        <v>70</v>
      </c>
      <c r="H11" s="7">
        <f t="shared" si="1"/>
        <v>70</v>
      </c>
      <c r="I11" s="7">
        <f>C11*10+D11*8+E11*6</f>
        <v>540</v>
      </c>
      <c r="J11" s="7">
        <f t="shared" si="2"/>
        <v>540</v>
      </c>
    </row>
    <row r="12" spans="1:10" s="4" customFormat="1" ht="27" customHeight="1">
      <c r="A12" s="406"/>
      <c r="B12" s="5" t="s">
        <v>20</v>
      </c>
      <c r="C12" s="60">
        <v>15</v>
      </c>
      <c r="D12" s="60">
        <v>20</v>
      </c>
      <c r="E12" s="60">
        <v>30</v>
      </c>
      <c r="F12" s="7"/>
      <c r="G12" s="7">
        <f t="shared" si="0"/>
        <v>65</v>
      </c>
      <c r="H12" s="7">
        <f t="shared" si="1"/>
        <v>65</v>
      </c>
      <c r="I12" s="7">
        <f>C12*7+D12*5+E12*3</f>
        <v>295</v>
      </c>
      <c r="J12" s="7">
        <f t="shared" si="2"/>
        <v>295</v>
      </c>
    </row>
    <row r="13" spans="1:10" s="4" customFormat="1" ht="27" customHeight="1">
      <c r="A13" s="404" t="s">
        <v>29</v>
      </c>
      <c r="B13" s="5" t="s">
        <v>24</v>
      </c>
      <c r="C13" s="7">
        <v>20</v>
      </c>
      <c r="D13" s="7">
        <v>30</v>
      </c>
      <c r="E13" s="7">
        <v>40</v>
      </c>
      <c r="F13" s="7"/>
      <c r="G13" s="7">
        <f t="shared" si="0"/>
        <v>90</v>
      </c>
      <c r="H13" s="7">
        <f>(C13+D13+E13)*5</f>
        <v>450</v>
      </c>
      <c r="I13" s="7">
        <f>(C13*50*5)+(D13*30*5)+(E13*20*5)</f>
        <v>13500</v>
      </c>
      <c r="J13" s="7">
        <f>I13*0.33</f>
        <v>4455</v>
      </c>
    </row>
    <row r="14" spans="1:10" s="4" customFormat="1" ht="27" customHeight="1">
      <c r="A14" s="405"/>
      <c r="B14" s="5" t="s">
        <v>16</v>
      </c>
      <c r="C14" s="7">
        <v>30</v>
      </c>
      <c r="D14" s="7">
        <v>40</v>
      </c>
      <c r="E14" s="7">
        <v>50</v>
      </c>
      <c r="F14" s="7"/>
      <c r="G14" s="7">
        <f t="shared" si="0"/>
        <v>120</v>
      </c>
      <c r="H14" s="7">
        <f t="shared" ref="H14:H18" si="3">(C14+D14+E14)*5</f>
        <v>600</v>
      </c>
      <c r="I14" s="7">
        <f>(C15*20*5)+(D15*15*5)+(E15*8*5)</f>
        <v>5850</v>
      </c>
      <c r="J14" s="7">
        <f>I14*0.33</f>
        <v>1930.5</v>
      </c>
    </row>
    <row r="15" spans="1:10" s="4" customFormat="1" ht="27" customHeight="1">
      <c r="A15" s="405"/>
      <c r="B15" s="5" t="s">
        <v>17</v>
      </c>
      <c r="C15" s="7">
        <v>20</v>
      </c>
      <c r="D15" s="7">
        <v>30</v>
      </c>
      <c r="E15" s="7">
        <v>40</v>
      </c>
      <c r="F15" s="7"/>
      <c r="G15" s="7">
        <f t="shared" si="0"/>
        <v>90</v>
      </c>
      <c r="H15" s="7">
        <f t="shared" si="3"/>
        <v>450</v>
      </c>
      <c r="I15" s="7">
        <f>(C15*20*5)+(D15*14*5)+(E15*8*5)</f>
        <v>5700</v>
      </c>
      <c r="J15" s="7">
        <f>I15*0.33</f>
        <v>1881</v>
      </c>
    </row>
    <row r="16" spans="1:10" s="4" customFormat="1" ht="27" customHeight="1">
      <c r="A16" s="405"/>
      <c r="B16" s="5" t="s">
        <v>18</v>
      </c>
      <c r="C16" s="7">
        <v>15</v>
      </c>
      <c r="D16" s="7">
        <v>20</v>
      </c>
      <c r="E16" s="7">
        <v>25</v>
      </c>
      <c r="F16" s="7"/>
      <c r="G16" s="7">
        <f t="shared" si="0"/>
        <v>60</v>
      </c>
      <c r="H16" s="7">
        <f t="shared" si="3"/>
        <v>300</v>
      </c>
      <c r="I16" s="7">
        <f>(C16*13*5)+(D16*10*5)+(E16*7*5)</f>
        <v>2850</v>
      </c>
      <c r="J16" s="7">
        <f>I16*0.33</f>
        <v>940.5</v>
      </c>
    </row>
    <row r="17" spans="1:10" s="4" customFormat="1" ht="27" customHeight="1">
      <c r="A17" s="405"/>
      <c r="B17" s="5" t="s">
        <v>19</v>
      </c>
      <c r="C17" s="7">
        <v>10</v>
      </c>
      <c r="D17" s="7">
        <v>10</v>
      </c>
      <c r="E17" s="7">
        <v>10</v>
      </c>
      <c r="F17" s="7"/>
      <c r="G17" s="7">
        <f t="shared" si="0"/>
        <v>30</v>
      </c>
      <c r="H17" s="7">
        <f t="shared" si="3"/>
        <v>150</v>
      </c>
      <c r="I17" s="7">
        <f>(C17*10*5)+(D17*8*5)+(E17*6*5)</f>
        <v>1200</v>
      </c>
      <c r="J17" s="7">
        <f>I17*0.5</f>
        <v>600</v>
      </c>
    </row>
    <row r="18" spans="1:10" s="4" customFormat="1" ht="27" customHeight="1">
      <c r="A18" s="406"/>
      <c r="B18" s="5" t="s">
        <v>20</v>
      </c>
      <c r="C18" s="7">
        <v>5</v>
      </c>
      <c r="D18" s="7">
        <v>10</v>
      </c>
      <c r="E18" s="7">
        <v>10</v>
      </c>
      <c r="F18" s="7"/>
      <c r="G18" s="7">
        <f t="shared" si="0"/>
        <v>25</v>
      </c>
      <c r="H18" s="7">
        <f t="shared" si="3"/>
        <v>125</v>
      </c>
      <c r="I18" s="7">
        <f>(C18*7*5)+(D18*5*5)+(E18*3*5)</f>
        <v>575</v>
      </c>
      <c r="J18" s="7">
        <f t="shared" ref="J18" si="4">I18*0.25</f>
        <v>143.75</v>
      </c>
    </row>
    <row r="19" spans="1:10" s="4" customFormat="1" ht="27" customHeight="1">
      <c r="A19" s="19"/>
      <c r="B19" s="20" t="s">
        <v>30</v>
      </c>
      <c r="C19" s="10">
        <f t="shared" ref="C19:J19" si="5">SUM(C7:C18)</f>
        <v>300</v>
      </c>
      <c r="D19" s="10">
        <f t="shared" si="5"/>
        <v>370</v>
      </c>
      <c r="E19" s="10">
        <f t="shared" si="5"/>
        <v>500</v>
      </c>
      <c r="F19" s="10">
        <f t="shared" si="5"/>
        <v>5</v>
      </c>
      <c r="G19" s="10">
        <f t="shared" si="5"/>
        <v>1170</v>
      </c>
      <c r="H19" s="10">
        <f t="shared" si="5"/>
        <v>2835</v>
      </c>
      <c r="I19" s="10">
        <f t="shared" si="5"/>
        <v>40806</v>
      </c>
      <c r="J19" s="10">
        <f t="shared" si="5"/>
        <v>21081.75</v>
      </c>
    </row>
    <row r="20" spans="1:10" ht="24.75" customHeight="1">
      <c r="B20" s="12" t="s">
        <v>22</v>
      </c>
      <c r="C20" s="407">
        <f>(I19+J19)</f>
        <v>61887.75</v>
      </c>
      <c r="D20" s="407"/>
      <c r="E20" s="407"/>
      <c r="F20" s="13" t="s">
        <v>274</v>
      </c>
    </row>
    <row r="21" spans="1:10" ht="38.25" customHeight="1">
      <c r="A21" s="400" t="s">
        <v>33</v>
      </c>
      <c r="B21" s="400"/>
      <c r="C21" s="400"/>
      <c r="D21" s="400"/>
      <c r="E21" s="400"/>
      <c r="F21" s="400"/>
      <c r="G21" s="400"/>
      <c r="H21" s="400"/>
      <c r="I21" s="400"/>
      <c r="J21" s="400"/>
    </row>
  </sheetData>
  <mergeCells count="11">
    <mergeCell ref="A7:A12"/>
    <mergeCell ref="A13:A18"/>
    <mergeCell ref="C20:E20"/>
    <mergeCell ref="A21:J21"/>
    <mergeCell ref="A2:J2"/>
    <mergeCell ref="A3:J3"/>
    <mergeCell ref="A5:A6"/>
    <mergeCell ref="B5:B6"/>
    <mergeCell ref="C5:G5"/>
    <mergeCell ref="H5:H6"/>
    <mergeCell ref="I5:J5"/>
  </mergeCells>
  <pageMargins left="0.31496062992125984" right="0.31496062992125984" top="0.55118110236220474" bottom="0.55118110236220474" header="0.31496062992125984" footer="0.31496062992125984"/>
  <pageSetup paperSize="9" scale="82" fitToHeight="0"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BF7C8-7DEB-4768-9AC2-B701108359D0}">
  <sheetPr>
    <pageSetUpPr fitToPage="1"/>
  </sheetPr>
  <dimension ref="A1:L254"/>
  <sheetViews>
    <sheetView showZeros="0" topLeftCell="A10" zoomScaleNormal="100" workbookViewId="0">
      <selection sqref="A1:L1"/>
    </sheetView>
  </sheetViews>
  <sheetFormatPr defaultColWidth="9.140625" defaultRowHeight="18.75"/>
  <cols>
    <col min="1" max="1" width="5.140625" style="22" customWidth="1"/>
    <col min="2" max="2" width="37.28515625" style="21" customWidth="1"/>
    <col min="3" max="3" width="11.42578125" style="22" customWidth="1"/>
    <col min="4" max="4" width="5.85546875" style="22" bestFit="1" customWidth="1"/>
    <col min="5" max="5" width="11.42578125" style="23" bestFit="1" customWidth="1"/>
    <col min="6" max="6" width="5.85546875" style="22" bestFit="1" customWidth="1"/>
    <col min="7" max="7" width="11.42578125" style="23" bestFit="1" customWidth="1"/>
    <col min="8" max="8" width="6" style="22" bestFit="1" customWidth="1"/>
    <col min="9" max="9" width="11.42578125" style="23" bestFit="1" customWidth="1"/>
    <col min="10" max="10" width="6.7109375" style="22" customWidth="1"/>
    <col min="11" max="11" width="11.42578125" style="23" bestFit="1" customWidth="1"/>
    <col min="12" max="12" width="12.28515625" style="21" bestFit="1" customWidth="1"/>
    <col min="13" max="16384" width="9.140625" style="21"/>
  </cols>
  <sheetData>
    <row r="1" spans="1:12">
      <c r="A1" s="425" t="s">
        <v>292</v>
      </c>
      <c r="B1" s="425"/>
      <c r="C1" s="425"/>
      <c r="D1" s="425"/>
      <c r="E1" s="426"/>
      <c r="F1" s="425"/>
      <c r="G1" s="426"/>
      <c r="H1" s="425"/>
      <c r="I1" s="426"/>
      <c r="J1" s="425"/>
      <c r="K1" s="426"/>
      <c r="L1" s="425"/>
    </row>
    <row r="2" spans="1:12" ht="21" customHeight="1">
      <c r="A2" s="425" t="s">
        <v>36</v>
      </c>
      <c r="B2" s="425"/>
      <c r="C2" s="425"/>
      <c r="D2" s="425"/>
      <c r="E2" s="426"/>
      <c r="F2" s="425"/>
      <c r="G2" s="426"/>
      <c r="H2" s="425"/>
      <c r="I2" s="426"/>
      <c r="J2" s="425"/>
      <c r="K2" s="426"/>
      <c r="L2" s="425"/>
    </row>
    <row r="3" spans="1:12" ht="21" customHeight="1">
      <c r="A3" s="427" t="s">
        <v>122</v>
      </c>
      <c r="B3" s="427"/>
      <c r="C3" s="427"/>
      <c r="D3" s="427"/>
      <c r="E3" s="427"/>
      <c r="F3" s="427"/>
      <c r="G3" s="427"/>
      <c r="H3" s="427"/>
      <c r="I3" s="427"/>
      <c r="J3" s="427"/>
      <c r="K3" s="427"/>
      <c r="L3" s="427"/>
    </row>
    <row r="4" spans="1:12" ht="9" customHeight="1"/>
    <row r="5" spans="1:12" s="22" customFormat="1">
      <c r="A5" s="428" t="s">
        <v>37</v>
      </c>
      <c r="B5" s="428" t="s">
        <v>38</v>
      </c>
      <c r="C5" s="430" t="s">
        <v>39</v>
      </c>
      <c r="D5" s="432" t="s">
        <v>108</v>
      </c>
      <c r="E5" s="433"/>
      <c r="F5" s="433"/>
      <c r="G5" s="433"/>
      <c r="H5" s="433"/>
      <c r="I5" s="433"/>
      <c r="J5" s="433"/>
      <c r="K5" s="433"/>
      <c r="L5" s="430" t="s">
        <v>40</v>
      </c>
    </row>
    <row r="6" spans="1:12" s="22" customFormat="1" ht="63">
      <c r="A6" s="429"/>
      <c r="B6" s="429"/>
      <c r="C6" s="431"/>
      <c r="D6" s="24" t="s">
        <v>41</v>
      </c>
      <c r="E6" s="24" t="s">
        <v>42</v>
      </c>
      <c r="F6" s="24" t="s">
        <v>43</v>
      </c>
      <c r="G6" s="24" t="s">
        <v>42</v>
      </c>
      <c r="H6" s="24" t="s">
        <v>44</v>
      </c>
      <c r="I6" s="24" t="s">
        <v>42</v>
      </c>
      <c r="J6" s="24" t="s">
        <v>45</v>
      </c>
      <c r="K6" s="24" t="s">
        <v>42</v>
      </c>
      <c r="L6" s="434"/>
    </row>
    <row r="7" spans="1:12">
      <c r="A7" s="419" t="s">
        <v>46</v>
      </c>
      <c r="B7" s="420"/>
      <c r="C7" s="420"/>
      <c r="D7" s="420"/>
      <c r="E7" s="421"/>
      <c r="F7" s="420"/>
      <c r="G7" s="421"/>
      <c r="H7" s="420"/>
      <c r="I7" s="421"/>
      <c r="J7" s="420"/>
      <c r="K7" s="421"/>
      <c r="L7" s="422"/>
    </row>
    <row r="8" spans="1:12">
      <c r="A8" s="25">
        <v>1</v>
      </c>
      <c r="B8" s="26" t="s">
        <v>47</v>
      </c>
      <c r="C8" s="25">
        <v>1</v>
      </c>
      <c r="D8" s="25">
        <v>8</v>
      </c>
      <c r="E8" s="27">
        <v>100</v>
      </c>
      <c r="F8" s="25">
        <v>5</v>
      </c>
      <c r="G8" s="27">
        <v>70</v>
      </c>
      <c r="H8" s="25">
        <v>5</v>
      </c>
      <c r="I8" s="27">
        <v>55</v>
      </c>
      <c r="J8" s="25"/>
      <c r="K8" s="27">
        <f>I8</f>
        <v>55</v>
      </c>
      <c r="L8" s="28">
        <f>(D8*E8)+(F8*G8)+(H8*I8)+(J8*K8)</f>
        <v>1425</v>
      </c>
    </row>
    <row r="9" spans="1:12">
      <c r="A9" s="25">
        <v>2</v>
      </c>
      <c r="B9" s="29" t="s">
        <v>48</v>
      </c>
      <c r="C9" s="25"/>
      <c r="D9" s="25"/>
      <c r="E9" s="27"/>
      <c r="F9" s="25"/>
      <c r="G9" s="27"/>
      <c r="H9" s="25"/>
      <c r="I9" s="27"/>
      <c r="J9" s="25"/>
      <c r="K9" s="27"/>
      <c r="L9" s="28">
        <f t="shared" ref="L9:L13" si="0">(D9*E9)+(F9*G9)+(H9*I9)+(J9*K9)</f>
        <v>0</v>
      </c>
    </row>
    <row r="10" spans="1:12">
      <c r="A10" s="25"/>
      <c r="B10" s="26" t="s">
        <v>49</v>
      </c>
      <c r="C10" s="25">
        <v>1</v>
      </c>
      <c r="D10" s="25"/>
      <c r="E10" s="27">
        <v>250</v>
      </c>
      <c r="F10" s="25">
        <v>1</v>
      </c>
      <c r="G10" s="27">
        <v>150</v>
      </c>
      <c r="H10" s="25">
        <v>1</v>
      </c>
      <c r="I10" s="27">
        <v>100</v>
      </c>
      <c r="J10" s="25"/>
      <c r="K10" s="27">
        <f t="shared" ref="K10:K12" si="1">I10</f>
        <v>100</v>
      </c>
      <c r="L10" s="28">
        <f t="shared" si="0"/>
        <v>250</v>
      </c>
    </row>
    <row r="11" spans="1:12">
      <c r="A11" s="25"/>
      <c r="B11" s="26" t="s">
        <v>50</v>
      </c>
      <c r="C11" s="25">
        <v>2</v>
      </c>
      <c r="D11" s="25">
        <v>2</v>
      </c>
      <c r="E11" s="27">
        <v>100</v>
      </c>
      <c r="F11" s="25">
        <v>1</v>
      </c>
      <c r="G11" s="27">
        <v>60</v>
      </c>
      <c r="H11" s="25">
        <v>1</v>
      </c>
      <c r="I11" s="27">
        <v>40</v>
      </c>
      <c r="J11" s="25"/>
      <c r="K11" s="27">
        <f t="shared" si="1"/>
        <v>40</v>
      </c>
      <c r="L11" s="28">
        <f t="shared" si="0"/>
        <v>300</v>
      </c>
    </row>
    <row r="12" spans="1:12">
      <c r="A12" s="25"/>
      <c r="B12" s="26" t="s">
        <v>51</v>
      </c>
      <c r="C12" s="25">
        <v>2</v>
      </c>
      <c r="D12" s="25">
        <v>2</v>
      </c>
      <c r="E12" s="27">
        <v>60</v>
      </c>
      <c r="F12" s="25">
        <v>1</v>
      </c>
      <c r="G12" s="27">
        <v>40</v>
      </c>
      <c r="H12" s="25">
        <v>1</v>
      </c>
      <c r="I12" s="27">
        <v>30</v>
      </c>
      <c r="J12" s="25"/>
      <c r="K12" s="27">
        <f t="shared" si="1"/>
        <v>30</v>
      </c>
      <c r="L12" s="28">
        <f t="shared" si="0"/>
        <v>190</v>
      </c>
    </row>
    <row r="13" spans="1:12">
      <c r="A13" s="25">
        <v>3</v>
      </c>
      <c r="B13" s="29" t="s">
        <v>52</v>
      </c>
      <c r="C13" s="25"/>
      <c r="D13" s="25"/>
      <c r="E13" s="27"/>
      <c r="F13" s="25"/>
      <c r="G13" s="27"/>
      <c r="H13" s="25"/>
      <c r="I13" s="27"/>
      <c r="J13" s="25"/>
      <c r="K13" s="27"/>
      <c r="L13" s="28">
        <f t="shared" si="0"/>
        <v>0</v>
      </c>
    </row>
    <row r="14" spans="1:12">
      <c r="A14" s="25" t="s">
        <v>53</v>
      </c>
      <c r="B14" s="29" t="s">
        <v>54</v>
      </c>
      <c r="C14" s="25"/>
      <c r="D14" s="25"/>
      <c r="E14" s="27"/>
      <c r="F14" s="25"/>
      <c r="G14" s="27"/>
      <c r="H14" s="25"/>
      <c r="I14" s="27"/>
      <c r="J14" s="25"/>
      <c r="K14" s="27"/>
      <c r="L14" s="28"/>
    </row>
    <row r="15" spans="1:12">
      <c r="A15" s="25"/>
      <c r="B15" s="26" t="s">
        <v>49</v>
      </c>
      <c r="C15" s="25">
        <v>1</v>
      </c>
      <c r="D15" s="25"/>
      <c r="E15" s="27">
        <f>E10*0.75</f>
        <v>187.5</v>
      </c>
      <c r="F15" s="25">
        <v>1</v>
      </c>
      <c r="G15" s="27">
        <f>G10*0.75</f>
        <v>112.5</v>
      </c>
      <c r="H15" s="25">
        <v>1</v>
      </c>
      <c r="I15" s="27">
        <f>I10*0.75</f>
        <v>75</v>
      </c>
      <c r="J15" s="25"/>
      <c r="K15" s="27">
        <f>K10*0.75</f>
        <v>75</v>
      </c>
      <c r="L15" s="28">
        <f t="shared" ref="L15:L17" si="2">(D15*E15)+(F15*G15)+(H15*I15)+(J15*K15)</f>
        <v>187.5</v>
      </c>
    </row>
    <row r="16" spans="1:12">
      <c r="A16" s="25"/>
      <c r="B16" s="26" t="s">
        <v>50</v>
      </c>
      <c r="C16" s="25">
        <v>2</v>
      </c>
      <c r="D16" s="25">
        <v>1</v>
      </c>
      <c r="E16" s="27">
        <f t="shared" ref="E16:E17" si="3">E11*0.75</f>
        <v>75</v>
      </c>
      <c r="F16" s="25">
        <v>1</v>
      </c>
      <c r="G16" s="27">
        <f t="shared" ref="G16:G17" si="4">G11*0.75</f>
        <v>45</v>
      </c>
      <c r="H16" s="25">
        <v>1</v>
      </c>
      <c r="I16" s="27">
        <f t="shared" ref="I16:I17" si="5">I11*0.75</f>
        <v>30</v>
      </c>
      <c r="J16" s="25"/>
      <c r="K16" s="27">
        <f t="shared" ref="K16:K17" si="6">K11*0.75</f>
        <v>30</v>
      </c>
      <c r="L16" s="28">
        <f t="shared" si="2"/>
        <v>150</v>
      </c>
    </row>
    <row r="17" spans="1:12">
      <c r="A17" s="25"/>
      <c r="B17" s="26" t="s">
        <v>51</v>
      </c>
      <c r="C17" s="25">
        <v>3</v>
      </c>
      <c r="D17" s="25">
        <v>2</v>
      </c>
      <c r="E17" s="27">
        <f t="shared" si="3"/>
        <v>45</v>
      </c>
      <c r="F17" s="25">
        <v>2</v>
      </c>
      <c r="G17" s="27">
        <f t="shared" si="4"/>
        <v>30</v>
      </c>
      <c r="H17" s="25">
        <v>2</v>
      </c>
      <c r="I17" s="27">
        <f t="shared" si="5"/>
        <v>22.5</v>
      </c>
      <c r="J17" s="25"/>
      <c r="K17" s="27">
        <f t="shared" si="6"/>
        <v>22.5</v>
      </c>
      <c r="L17" s="28">
        <f t="shared" si="2"/>
        <v>195</v>
      </c>
    </row>
    <row r="18" spans="1:12">
      <c r="A18" s="25" t="s">
        <v>55</v>
      </c>
      <c r="B18" s="29" t="s">
        <v>56</v>
      </c>
      <c r="C18" s="25"/>
      <c r="D18" s="25"/>
      <c r="E18" s="27"/>
      <c r="F18" s="25"/>
      <c r="G18" s="27"/>
      <c r="H18" s="25"/>
      <c r="I18" s="27"/>
      <c r="J18" s="25"/>
      <c r="K18" s="27"/>
      <c r="L18" s="28"/>
    </row>
    <row r="19" spans="1:12">
      <c r="A19" s="25"/>
      <c r="B19" s="26" t="s">
        <v>49</v>
      </c>
      <c r="C19" s="25">
        <v>1</v>
      </c>
      <c r="D19" s="25"/>
      <c r="E19" s="27">
        <f>E10*0.4</f>
        <v>100</v>
      </c>
      <c r="F19" s="25">
        <v>1</v>
      </c>
      <c r="G19" s="27">
        <f>G10*0.4</f>
        <v>60</v>
      </c>
      <c r="H19" s="25">
        <v>1</v>
      </c>
      <c r="I19" s="27">
        <f>I10*0.4</f>
        <v>40</v>
      </c>
      <c r="J19" s="25"/>
      <c r="K19" s="27">
        <f>K10*0.4</f>
        <v>40</v>
      </c>
      <c r="L19" s="28">
        <f t="shared" ref="L19:L21" si="7">(D19*E19)+(F19*G19)+(H19*I19)+(J19*K19)</f>
        <v>100</v>
      </c>
    </row>
    <row r="20" spans="1:12">
      <c r="A20" s="25"/>
      <c r="B20" s="26" t="s">
        <v>50</v>
      </c>
      <c r="C20" s="25">
        <v>1</v>
      </c>
      <c r="D20" s="25">
        <v>2</v>
      </c>
      <c r="E20" s="27">
        <f t="shared" ref="E20:E21" si="8">E11*0.4</f>
        <v>40</v>
      </c>
      <c r="F20" s="25">
        <v>1</v>
      </c>
      <c r="G20" s="27">
        <f t="shared" ref="G20:G21" si="9">G11*0.4</f>
        <v>24</v>
      </c>
      <c r="H20" s="25">
        <v>1</v>
      </c>
      <c r="I20" s="27">
        <f t="shared" ref="I20:I21" si="10">I11*0.4</f>
        <v>16</v>
      </c>
      <c r="J20" s="25"/>
      <c r="K20" s="27">
        <f t="shared" ref="K20:K21" si="11">K11*0.4</f>
        <v>16</v>
      </c>
      <c r="L20" s="28">
        <f t="shared" si="7"/>
        <v>120</v>
      </c>
    </row>
    <row r="21" spans="1:12">
      <c r="A21" s="25"/>
      <c r="B21" s="26" t="s">
        <v>51</v>
      </c>
      <c r="C21" s="25">
        <v>1</v>
      </c>
      <c r="D21" s="25">
        <v>1</v>
      </c>
      <c r="E21" s="27">
        <f t="shared" si="8"/>
        <v>24</v>
      </c>
      <c r="F21" s="25">
        <v>1</v>
      </c>
      <c r="G21" s="27">
        <f t="shared" si="9"/>
        <v>16</v>
      </c>
      <c r="H21" s="25">
        <v>1</v>
      </c>
      <c r="I21" s="27">
        <f t="shared" si="10"/>
        <v>12</v>
      </c>
      <c r="J21" s="25"/>
      <c r="K21" s="27">
        <f t="shared" si="11"/>
        <v>12</v>
      </c>
      <c r="L21" s="28">
        <f t="shared" si="7"/>
        <v>52</v>
      </c>
    </row>
    <row r="22" spans="1:12">
      <c r="A22" s="25" t="s">
        <v>57</v>
      </c>
      <c r="B22" s="29" t="s">
        <v>58</v>
      </c>
      <c r="C22" s="25"/>
      <c r="D22" s="25"/>
      <c r="E22" s="27"/>
      <c r="F22" s="25"/>
      <c r="G22" s="27"/>
      <c r="H22" s="25"/>
      <c r="I22" s="27"/>
      <c r="J22" s="25"/>
      <c r="K22" s="27"/>
      <c r="L22" s="28"/>
    </row>
    <row r="23" spans="1:12">
      <c r="A23" s="25"/>
      <c r="B23" s="26" t="s">
        <v>49</v>
      </c>
      <c r="C23" s="25">
        <v>1</v>
      </c>
      <c r="D23" s="25">
        <v>1</v>
      </c>
      <c r="E23" s="27">
        <f>E10*0.3</f>
        <v>75</v>
      </c>
      <c r="F23" s="25">
        <v>1</v>
      </c>
      <c r="G23" s="27">
        <f>G10*0.3</f>
        <v>45</v>
      </c>
      <c r="H23" s="25">
        <v>1</v>
      </c>
      <c r="I23" s="27">
        <f>I10*0.3</f>
        <v>30</v>
      </c>
      <c r="J23" s="25"/>
      <c r="K23" s="27">
        <f>K10*0.3</f>
        <v>30</v>
      </c>
      <c r="L23" s="28">
        <f t="shared" ref="L23:L25" si="12">(D23*E23)+(F23*G23)+(H23*I23)+(J23*K23)</f>
        <v>150</v>
      </c>
    </row>
    <row r="24" spans="1:12">
      <c r="A24" s="25"/>
      <c r="B24" s="26" t="s">
        <v>50</v>
      </c>
      <c r="C24" s="25">
        <v>1</v>
      </c>
      <c r="D24" s="25">
        <v>1</v>
      </c>
      <c r="E24" s="27">
        <f t="shared" ref="E24:E25" si="13">E11*0.3</f>
        <v>30</v>
      </c>
      <c r="F24" s="25">
        <v>1</v>
      </c>
      <c r="G24" s="27">
        <f t="shared" ref="G24:G25" si="14">G11*0.3</f>
        <v>18</v>
      </c>
      <c r="H24" s="25">
        <v>1</v>
      </c>
      <c r="I24" s="27">
        <f t="shared" ref="I24:I25" si="15">I11*0.3</f>
        <v>12</v>
      </c>
      <c r="J24" s="25"/>
      <c r="K24" s="27">
        <f t="shared" ref="K24:K25" si="16">K11*0.3</f>
        <v>12</v>
      </c>
      <c r="L24" s="28">
        <f t="shared" si="12"/>
        <v>60</v>
      </c>
    </row>
    <row r="25" spans="1:12">
      <c r="A25" s="25"/>
      <c r="B25" s="26" t="s">
        <v>51</v>
      </c>
      <c r="C25" s="25">
        <v>3</v>
      </c>
      <c r="D25" s="25">
        <v>2</v>
      </c>
      <c r="E25" s="27">
        <f t="shared" si="13"/>
        <v>18</v>
      </c>
      <c r="F25" s="25">
        <v>3</v>
      </c>
      <c r="G25" s="27">
        <f t="shared" si="14"/>
        <v>12</v>
      </c>
      <c r="H25" s="25">
        <v>5</v>
      </c>
      <c r="I25" s="27">
        <f t="shared" si="15"/>
        <v>9</v>
      </c>
      <c r="J25" s="25"/>
      <c r="K25" s="27">
        <f t="shared" si="16"/>
        <v>9</v>
      </c>
      <c r="L25" s="28">
        <f t="shared" si="12"/>
        <v>117</v>
      </c>
    </row>
    <row r="26" spans="1:12">
      <c r="A26" s="25" t="s">
        <v>59</v>
      </c>
      <c r="B26" s="29" t="s">
        <v>60</v>
      </c>
      <c r="C26" s="25"/>
      <c r="D26" s="25"/>
      <c r="E26" s="27"/>
      <c r="F26" s="25"/>
      <c r="G26" s="27"/>
      <c r="H26" s="25"/>
      <c r="I26" s="27"/>
      <c r="J26" s="25"/>
      <c r="K26" s="27"/>
      <c r="L26" s="28"/>
    </row>
    <row r="27" spans="1:12">
      <c r="A27" s="25"/>
      <c r="B27" s="26" t="s">
        <v>49</v>
      </c>
      <c r="C27" s="25">
        <v>1</v>
      </c>
      <c r="D27" s="25">
        <v>1</v>
      </c>
      <c r="E27" s="27">
        <f>E10*0.2</f>
        <v>50</v>
      </c>
      <c r="F27" s="25">
        <v>1</v>
      </c>
      <c r="G27" s="27">
        <f>G10*0.2</f>
        <v>30</v>
      </c>
      <c r="H27" s="25">
        <v>1</v>
      </c>
      <c r="I27" s="27">
        <f>I10*0.2</f>
        <v>20</v>
      </c>
      <c r="J27" s="25"/>
      <c r="K27" s="27">
        <f>K10*0.2</f>
        <v>20</v>
      </c>
      <c r="L27" s="28">
        <f t="shared" ref="L27:L37" si="17">(D27*E27)+(F27*G27)+(H27*I27)+(J27*K27)</f>
        <v>100</v>
      </c>
    </row>
    <row r="28" spans="1:12">
      <c r="A28" s="25"/>
      <c r="B28" s="26" t="s">
        <v>50</v>
      </c>
      <c r="C28" s="25">
        <v>1</v>
      </c>
      <c r="D28" s="25">
        <v>1</v>
      </c>
      <c r="E28" s="27">
        <f t="shared" ref="E28:E29" si="18">E11*0.2</f>
        <v>20</v>
      </c>
      <c r="F28" s="25">
        <v>1</v>
      </c>
      <c r="G28" s="27">
        <f t="shared" ref="G28:G29" si="19">G11*0.2</f>
        <v>12</v>
      </c>
      <c r="H28" s="25">
        <v>1</v>
      </c>
      <c r="I28" s="27">
        <f t="shared" ref="I28:I29" si="20">I11*0.2</f>
        <v>8</v>
      </c>
      <c r="J28" s="25"/>
      <c r="K28" s="27">
        <f t="shared" ref="K28:K29" si="21">K11*0.2</f>
        <v>8</v>
      </c>
      <c r="L28" s="28">
        <f t="shared" si="17"/>
        <v>40</v>
      </c>
    </row>
    <row r="29" spans="1:12">
      <c r="A29" s="25"/>
      <c r="B29" s="26" t="s">
        <v>51</v>
      </c>
      <c r="C29" s="25">
        <v>3</v>
      </c>
      <c r="D29" s="25">
        <v>5</v>
      </c>
      <c r="E29" s="27">
        <f t="shared" si="18"/>
        <v>12</v>
      </c>
      <c r="F29" s="25">
        <v>5</v>
      </c>
      <c r="G29" s="27">
        <f t="shared" si="19"/>
        <v>8</v>
      </c>
      <c r="H29" s="25">
        <v>10</v>
      </c>
      <c r="I29" s="27">
        <f t="shared" si="20"/>
        <v>6</v>
      </c>
      <c r="J29" s="25"/>
      <c r="K29" s="27">
        <f t="shared" si="21"/>
        <v>6</v>
      </c>
      <c r="L29" s="28">
        <f t="shared" si="17"/>
        <v>160</v>
      </c>
    </row>
    <row r="30" spans="1:12">
      <c r="A30" s="25">
        <v>4</v>
      </c>
      <c r="B30" s="29" t="s">
        <v>61</v>
      </c>
      <c r="C30" s="25"/>
      <c r="D30" s="25"/>
      <c r="E30" s="27"/>
      <c r="F30" s="25"/>
      <c r="G30" s="27"/>
      <c r="H30" s="25"/>
      <c r="I30" s="27"/>
      <c r="J30" s="25"/>
      <c r="K30" s="27"/>
      <c r="L30" s="28">
        <f t="shared" si="17"/>
        <v>0</v>
      </c>
    </row>
    <row r="31" spans="1:12">
      <c r="A31" s="25"/>
      <c r="B31" s="26" t="s">
        <v>49</v>
      </c>
      <c r="C31" s="25">
        <v>2</v>
      </c>
      <c r="D31" s="25">
        <v>1</v>
      </c>
      <c r="E31" s="27">
        <f>E10/2</f>
        <v>125</v>
      </c>
      <c r="F31" s="25">
        <v>1</v>
      </c>
      <c r="G31" s="27">
        <f>G10/2</f>
        <v>75</v>
      </c>
      <c r="H31" s="25">
        <v>1</v>
      </c>
      <c r="I31" s="27">
        <f>I10/2</f>
        <v>50</v>
      </c>
      <c r="J31" s="25"/>
      <c r="K31" s="27">
        <f>K10/2</f>
        <v>50</v>
      </c>
      <c r="L31" s="28">
        <f t="shared" si="17"/>
        <v>250</v>
      </c>
    </row>
    <row r="32" spans="1:12">
      <c r="A32" s="25"/>
      <c r="B32" s="26" t="s">
        <v>50</v>
      </c>
      <c r="C32" s="25">
        <v>4</v>
      </c>
      <c r="D32" s="25">
        <v>2</v>
      </c>
      <c r="E32" s="27">
        <f t="shared" ref="E32:E33" si="22">E11/2</f>
        <v>50</v>
      </c>
      <c r="F32" s="25">
        <v>3</v>
      </c>
      <c r="G32" s="27">
        <f t="shared" ref="G32:G33" si="23">G11/2</f>
        <v>30</v>
      </c>
      <c r="H32" s="25">
        <v>4</v>
      </c>
      <c r="I32" s="27">
        <f>I11/2</f>
        <v>20</v>
      </c>
      <c r="J32" s="25"/>
      <c r="K32" s="27">
        <f>K11/2</f>
        <v>20</v>
      </c>
      <c r="L32" s="28">
        <f t="shared" si="17"/>
        <v>270</v>
      </c>
    </row>
    <row r="33" spans="1:12">
      <c r="A33" s="25"/>
      <c r="B33" s="26" t="s">
        <v>51</v>
      </c>
      <c r="C33" s="25">
        <v>5</v>
      </c>
      <c r="D33" s="25">
        <v>6</v>
      </c>
      <c r="E33" s="27">
        <f t="shared" si="22"/>
        <v>30</v>
      </c>
      <c r="F33" s="25">
        <v>6</v>
      </c>
      <c r="G33" s="27">
        <f t="shared" si="23"/>
        <v>20</v>
      </c>
      <c r="H33" s="25">
        <v>6</v>
      </c>
      <c r="I33" s="27">
        <f>I12/2</f>
        <v>15</v>
      </c>
      <c r="J33" s="25"/>
      <c r="K33" s="27">
        <f>K12/2</f>
        <v>15</v>
      </c>
      <c r="L33" s="28">
        <f t="shared" si="17"/>
        <v>390</v>
      </c>
    </row>
    <row r="34" spans="1:12">
      <c r="A34" s="25">
        <v>5</v>
      </c>
      <c r="B34" s="26" t="s">
        <v>62</v>
      </c>
      <c r="C34" s="25"/>
      <c r="D34" s="25"/>
      <c r="E34" s="27"/>
      <c r="F34" s="25"/>
      <c r="G34" s="27"/>
      <c r="H34" s="25"/>
      <c r="I34" s="27"/>
      <c r="J34" s="25"/>
      <c r="K34" s="27"/>
      <c r="L34" s="28">
        <f t="shared" si="17"/>
        <v>0</v>
      </c>
    </row>
    <row r="35" spans="1:12">
      <c r="A35" s="25"/>
      <c r="B35" s="26" t="s">
        <v>49</v>
      </c>
      <c r="C35" s="25">
        <v>1</v>
      </c>
      <c r="D35" s="25">
        <v>1</v>
      </c>
      <c r="E35" s="27">
        <v>100</v>
      </c>
      <c r="F35" s="25">
        <v>1</v>
      </c>
      <c r="G35" s="27">
        <v>60</v>
      </c>
      <c r="H35" s="25">
        <v>1</v>
      </c>
      <c r="I35" s="27">
        <v>40</v>
      </c>
      <c r="J35" s="25"/>
      <c r="K35" s="27">
        <f>I35</f>
        <v>40</v>
      </c>
      <c r="L35" s="28">
        <f t="shared" si="17"/>
        <v>200</v>
      </c>
    </row>
    <row r="36" spans="1:12">
      <c r="A36" s="25"/>
      <c r="B36" s="26" t="s">
        <v>50</v>
      </c>
      <c r="C36" s="25">
        <v>1</v>
      </c>
      <c r="D36" s="25">
        <v>1</v>
      </c>
      <c r="E36" s="27">
        <v>60</v>
      </c>
      <c r="F36" s="25">
        <v>1</v>
      </c>
      <c r="G36" s="27">
        <v>40</v>
      </c>
      <c r="H36" s="25">
        <v>1</v>
      </c>
      <c r="I36" s="27">
        <v>30</v>
      </c>
      <c r="J36" s="25"/>
      <c r="K36" s="27">
        <f t="shared" ref="K36:K37" si="24">I36</f>
        <v>30</v>
      </c>
      <c r="L36" s="28">
        <f t="shared" si="17"/>
        <v>130</v>
      </c>
    </row>
    <row r="37" spans="1:12">
      <c r="A37" s="25"/>
      <c r="B37" s="26" t="s">
        <v>51</v>
      </c>
      <c r="C37" s="25">
        <v>1</v>
      </c>
      <c r="D37" s="25">
        <v>1</v>
      </c>
      <c r="E37" s="27">
        <v>40</v>
      </c>
      <c r="F37" s="25">
        <v>1</v>
      </c>
      <c r="G37" s="27">
        <v>30</v>
      </c>
      <c r="H37" s="25">
        <v>1</v>
      </c>
      <c r="I37" s="27">
        <v>20</v>
      </c>
      <c r="J37" s="25"/>
      <c r="K37" s="27">
        <f t="shared" si="24"/>
        <v>20</v>
      </c>
      <c r="L37" s="28">
        <f t="shared" si="17"/>
        <v>90</v>
      </c>
    </row>
    <row r="38" spans="1:12">
      <c r="A38" s="25">
        <v>6</v>
      </c>
      <c r="B38" s="26" t="s">
        <v>63</v>
      </c>
      <c r="C38" s="25"/>
      <c r="D38" s="25"/>
      <c r="E38" s="27"/>
      <c r="F38" s="25"/>
      <c r="G38" s="27"/>
      <c r="H38" s="25"/>
      <c r="I38" s="27"/>
      <c r="J38" s="25"/>
      <c r="K38" s="27"/>
      <c r="L38" s="28"/>
    </row>
    <row r="39" spans="1:12">
      <c r="A39" s="25" t="s">
        <v>64</v>
      </c>
      <c r="B39" s="29" t="s">
        <v>54</v>
      </c>
      <c r="C39" s="25"/>
      <c r="D39" s="25"/>
      <c r="E39" s="27"/>
      <c r="F39" s="25"/>
      <c r="G39" s="27"/>
      <c r="H39" s="25"/>
      <c r="I39" s="27"/>
      <c r="J39" s="25"/>
      <c r="K39" s="27"/>
      <c r="L39" s="28"/>
    </row>
    <row r="40" spans="1:12">
      <c r="A40" s="25"/>
      <c r="B40" s="26" t="s">
        <v>49</v>
      </c>
      <c r="C40" s="25">
        <v>1</v>
      </c>
      <c r="D40" s="25"/>
      <c r="E40" s="27">
        <f>E35*0.75</f>
        <v>75</v>
      </c>
      <c r="F40" s="25"/>
      <c r="G40" s="27">
        <f>G35*0.75</f>
        <v>45</v>
      </c>
      <c r="H40" s="25">
        <v>1</v>
      </c>
      <c r="I40" s="27">
        <f>I35*0.75</f>
        <v>30</v>
      </c>
      <c r="J40" s="25"/>
      <c r="K40" s="27">
        <f>K35*0.75</f>
        <v>30</v>
      </c>
      <c r="L40" s="28">
        <f t="shared" ref="L40:L42" si="25">(D40*E40)+(F40*G40)+(H40*I40)+(J40*K40)</f>
        <v>30</v>
      </c>
    </row>
    <row r="41" spans="1:12">
      <c r="A41" s="25"/>
      <c r="B41" s="26" t="s">
        <v>50</v>
      </c>
      <c r="C41" s="25">
        <v>1</v>
      </c>
      <c r="D41" s="25"/>
      <c r="E41" s="27">
        <f t="shared" ref="E41:E42" si="26">E36*0.75</f>
        <v>45</v>
      </c>
      <c r="F41" s="25">
        <v>1</v>
      </c>
      <c r="G41" s="27">
        <f t="shared" ref="G41:G42" si="27">G36*0.75</f>
        <v>30</v>
      </c>
      <c r="H41" s="25"/>
      <c r="I41" s="27">
        <f t="shared" ref="I41:I42" si="28">I36*0.75</f>
        <v>22.5</v>
      </c>
      <c r="J41" s="25"/>
      <c r="K41" s="27">
        <f t="shared" ref="K41:K42" si="29">K36*0.75</f>
        <v>22.5</v>
      </c>
      <c r="L41" s="28">
        <f t="shared" si="25"/>
        <v>30</v>
      </c>
    </row>
    <row r="42" spans="1:12">
      <c r="A42" s="25"/>
      <c r="B42" s="26" t="s">
        <v>51</v>
      </c>
      <c r="C42" s="25">
        <v>1</v>
      </c>
      <c r="D42" s="25">
        <v>1</v>
      </c>
      <c r="E42" s="27">
        <f t="shared" si="26"/>
        <v>30</v>
      </c>
      <c r="F42" s="25"/>
      <c r="G42" s="27">
        <f t="shared" si="27"/>
        <v>22.5</v>
      </c>
      <c r="H42" s="25"/>
      <c r="I42" s="27">
        <f t="shared" si="28"/>
        <v>15</v>
      </c>
      <c r="J42" s="25"/>
      <c r="K42" s="27">
        <f t="shared" si="29"/>
        <v>15</v>
      </c>
      <c r="L42" s="28">
        <f t="shared" si="25"/>
        <v>30</v>
      </c>
    </row>
    <row r="43" spans="1:12">
      <c r="A43" s="25" t="s">
        <v>65</v>
      </c>
      <c r="B43" s="29" t="s">
        <v>56</v>
      </c>
      <c r="C43" s="25"/>
      <c r="D43" s="25"/>
      <c r="E43" s="27"/>
      <c r="F43" s="25"/>
      <c r="G43" s="27"/>
      <c r="H43" s="25"/>
      <c r="I43" s="27"/>
      <c r="J43" s="25"/>
      <c r="K43" s="27"/>
      <c r="L43" s="28"/>
    </row>
    <row r="44" spans="1:12">
      <c r="A44" s="25"/>
      <c r="B44" s="26" t="s">
        <v>49</v>
      </c>
      <c r="C44" s="25">
        <v>1</v>
      </c>
      <c r="D44" s="25"/>
      <c r="E44" s="27">
        <f>E35*0.4</f>
        <v>40</v>
      </c>
      <c r="F44" s="25"/>
      <c r="G44" s="27">
        <f>G35*0.4</f>
        <v>24</v>
      </c>
      <c r="H44" s="25">
        <v>1</v>
      </c>
      <c r="I44" s="27">
        <f>I35*0.4</f>
        <v>16</v>
      </c>
      <c r="J44" s="25"/>
      <c r="K44" s="27">
        <f>K35*0.4</f>
        <v>16</v>
      </c>
      <c r="L44" s="28">
        <f t="shared" ref="L44:L46" si="30">(D44*E44)+(F44*G44)+(H44*I44)+(J44*K44)</f>
        <v>16</v>
      </c>
    </row>
    <row r="45" spans="1:12">
      <c r="A45" s="25"/>
      <c r="B45" s="26" t="s">
        <v>50</v>
      </c>
      <c r="C45" s="25">
        <v>1</v>
      </c>
      <c r="D45" s="25"/>
      <c r="E45" s="27">
        <f t="shared" ref="E45:E46" si="31">E36*0.4</f>
        <v>24</v>
      </c>
      <c r="F45" s="25">
        <v>1</v>
      </c>
      <c r="G45" s="27">
        <f t="shared" ref="G45:G46" si="32">G36*0.4</f>
        <v>16</v>
      </c>
      <c r="H45" s="25"/>
      <c r="I45" s="27">
        <f t="shared" ref="I45:I46" si="33">I36*0.4</f>
        <v>12</v>
      </c>
      <c r="J45" s="25"/>
      <c r="K45" s="27">
        <f t="shared" ref="K45:K46" si="34">K36*0.4</f>
        <v>12</v>
      </c>
      <c r="L45" s="28">
        <f t="shared" si="30"/>
        <v>16</v>
      </c>
    </row>
    <row r="46" spans="1:12">
      <c r="A46" s="25"/>
      <c r="B46" s="26" t="s">
        <v>51</v>
      </c>
      <c r="C46" s="25">
        <v>1</v>
      </c>
      <c r="D46" s="25">
        <v>1</v>
      </c>
      <c r="E46" s="27">
        <f t="shared" si="31"/>
        <v>16</v>
      </c>
      <c r="F46" s="25"/>
      <c r="G46" s="27">
        <f t="shared" si="32"/>
        <v>12</v>
      </c>
      <c r="H46" s="25"/>
      <c r="I46" s="27">
        <f t="shared" si="33"/>
        <v>8</v>
      </c>
      <c r="J46" s="25"/>
      <c r="K46" s="27">
        <f t="shared" si="34"/>
        <v>8</v>
      </c>
      <c r="L46" s="28">
        <f t="shared" si="30"/>
        <v>16</v>
      </c>
    </row>
    <row r="47" spans="1:12">
      <c r="A47" s="25" t="s">
        <v>66</v>
      </c>
      <c r="B47" s="29" t="s">
        <v>58</v>
      </c>
      <c r="C47" s="25"/>
      <c r="D47" s="25"/>
      <c r="E47" s="27"/>
      <c r="F47" s="25"/>
      <c r="G47" s="27"/>
      <c r="H47" s="25"/>
      <c r="I47" s="27"/>
      <c r="J47" s="25"/>
      <c r="K47" s="27"/>
      <c r="L47" s="28"/>
    </row>
    <row r="48" spans="1:12">
      <c r="A48" s="25"/>
      <c r="B48" s="26" t="s">
        <v>49</v>
      </c>
      <c r="C48" s="25">
        <v>1</v>
      </c>
      <c r="D48" s="25"/>
      <c r="E48" s="27">
        <f>E35*0.3</f>
        <v>30</v>
      </c>
      <c r="F48" s="25"/>
      <c r="G48" s="27">
        <f>G35*0.3</f>
        <v>18</v>
      </c>
      <c r="H48" s="25">
        <v>1</v>
      </c>
      <c r="I48" s="27">
        <f>I35*0.3</f>
        <v>12</v>
      </c>
      <c r="J48" s="25"/>
      <c r="K48" s="27">
        <f>K35*0.3</f>
        <v>12</v>
      </c>
      <c r="L48" s="28">
        <f t="shared" ref="L48:L50" si="35">(D48*E48)+(F48*G48)+(H48*I48)+(J48*K48)</f>
        <v>12</v>
      </c>
    </row>
    <row r="49" spans="1:12">
      <c r="A49" s="25"/>
      <c r="B49" s="26" t="s">
        <v>50</v>
      </c>
      <c r="C49" s="25">
        <v>1</v>
      </c>
      <c r="D49" s="25"/>
      <c r="E49" s="27">
        <f t="shared" ref="E49:E50" si="36">E36*0.3</f>
        <v>18</v>
      </c>
      <c r="F49" s="25">
        <v>1</v>
      </c>
      <c r="G49" s="27">
        <f t="shared" ref="G49:G50" si="37">G36*0.3</f>
        <v>12</v>
      </c>
      <c r="H49" s="25"/>
      <c r="I49" s="27">
        <f t="shared" ref="I49:I50" si="38">I36*0.3</f>
        <v>9</v>
      </c>
      <c r="J49" s="25"/>
      <c r="K49" s="27">
        <f t="shared" ref="K49:K50" si="39">K36*0.3</f>
        <v>9</v>
      </c>
      <c r="L49" s="28">
        <f t="shared" si="35"/>
        <v>12</v>
      </c>
    </row>
    <row r="50" spans="1:12">
      <c r="A50" s="25"/>
      <c r="B50" s="26" t="s">
        <v>51</v>
      </c>
      <c r="C50" s="25">
        <v>1</v>
      </c>
      <c r="D50" s="25">
        <v>1</v>
      </c>
      <c r="E50" s="27">
        <f t="shared" si="36"/>
        <v>12</v>
      </c>
      <c r="F50" s="25"/>
      <c r="G50" s="27">
        <f t="shared" si="37"/>
        <v>9</v>
      </c>
      <c r="H50" s="25"/>
      <c r="I50" s="27">
        <f t="shared" si="38"/>
        <v>6</v>
      </c>
      <c r="J50" s="25"/>
      <c r="K50" s="27">
        <f t="shared" si="39"/>
        <v>6</v>
      </c>
      <c r="L50" s="28">
        <f t="shared" si="35"/>
        <v>12</v>
      </c>
    </row>
    <row r="51" spans="1:12">
      <c r="A51" s="25" t="s">
        <v>67</v>
      </c>
      <c r="B51" s="29" t="s">
        <v>60</v>
      </c>
      <c r="C51" s="25"/>
      <c r="D51" s="25"/>
      <c r="E51" s="27"/>
      <c r="F51" s="25"/>
      <c r="G51" s="27"/>
      <c r="H51" s="25"/>
      <c r="I51" s="27"/>
      <c r="J51" s="25"/>
      <c r="K51" s="27"/>
      <c r="L51" s="28"/>
    </row>
    <row r="52" spans="1:12">
      <c r="A52" s="25"/>
      <c r="B52" s="26" t="s">
        <v>49</v>
      </c>
      <c r="C52" s="25">
        <v>1</v>
      </c>
      <c r="D52" s="25"/>
      <c r="E52" s="27">
        <f>E35*0.2</f>
        <v>20</v>
      </c>
      <c r="F52" s="25"/>
      <c r="G52" s="27">
        <f>G35*0.2</f>
        <v>12</v>
      </c>
      <c r="H52" s="25">
        <v>1</v>
      </c>
      <c r="I52" s="27">
        <f>I35*0.2</f>
        <v>8</v>
      </c>
      <c r="J52" s="25"/>
      <c r="K52" s="27">
        <f>K35*0.2</f>
        <v>8</v>
      </c>
      <c r="L52" s="28">
        <f t="shared" ref="L52:L58" si="40">(D52*E52)+(F52*G52)+(H52*I52)+(J52*K52)</f>
        <v>8</v>
      </c>
    </row>
    <row r="53" spans="1:12">
      <c r="A53" s="25"/>
      <c r="B53" s="26" t="s">
        <v>50</v>
      </c>
      <c r="C53" s="25">
        <v>1</v>
      </c>
      <c r="D53" s="25"/>
      <c r="E53" s="27">
        <f t="shared" ref="E53:E54" si="41">E36*0.2</f>
        <v>12</v>
      </c>
      <c r="F53" s="25">
        <v>1</v>
      </c>
      <c r="G53" s="27">
        <f t="shared" ref="G53:G54" si="42">G36*0.2</f>
        <v>8</v>
      </c>
      <c r="H53" s="25"/>
      <c r="I53" s="27">
        <f t="shared" ref="I53:I54" si="43">I36*0.2</f>
        <v>6</v>
      </c>
      <c r="J53" s="25"/>
      <c r="K53" s="27">
        <f t="shared" ref="K53:K54" si="44">K36*0.2</f>
        <v>6</v>
      </c>
      <c r="L53" s="28">
        <f t="shared" si="40"/>
        <v>8</v>
      </c>
    </row>
    <row r="54" spans="1:12">
      <c r="A54" s="25"/>
      <c r="B54" s="26" t="s">
        <v>51</v>
      </c>
      <c r="C54" s="25">
        <v>1</v>
      </c>
      <c r="D54" s="25">
        <v>1</v>
      </c>
      <c r="E54" s="27">
        <f t="shared" si="41"/>
        <v>8</v>
      </c>
      <c r="F54" s="25"/>
      <c r="G54" s="27">
        <f t="shared" si="42"/>
        <v>6</v>
      </c>
      <c r="H54" s="25"/>
      <c r="I54" s="27">
        <f t="shared" si="43"/>
        <v>4</v>
      </c>
      <c r="J54" s="25"/>
      <c r="K54" s="27">
        <f t="shared" si="44"/>
        <v>4</v>
      </c>
      <c r="L54" s="28">
        <f t="shared" si="40"/>
        <v>8</v>
      </c>
    </row>
    <row r="55" spans="1:12">
      <c r="A55" s="25">
        <v>7</v>
      </c>
      <c r="B55" s="26" t="s">
        <v>68</v>
      </c>
      <c r="C55" s="25"/>
      <c r="D55" s="25"/>
      <c r="E55" s="27"/>
      <c r="F55" s="25"/>
      <c r="G55" s="27"/>
      <c r="H55" s="25"/>
      <c r="I55" s="27"/>
      <c r="J55" s="25"/>
      <c r="K55" s="27"/>
      <c r="L55" s="28">
        <f t="shared" si="40"/>
        <v>0</v>
      </c>
    </row>
    <row r="56" spans="1:12">
      <c r="A56" s="25"/>
      <c r="B56" s="26" t="s">
        <v>49</v>
      </c>
      <c r="C56" s="25">
        <v>2</v>
      </c>
      <c r="D56" s="25">
        <v>2</v>
      </c>
      <c r="E56" s="27">
        <v>50</v>
      </c>
      <c r="F56" s="25">
        <v>1</v>
      </c>
      <c r="G56" s="27">
        <v>30</v>
      </c>
      <c r="H56" s="25">
        <v>1</v>
      </c>
      <c r="I56" s="27">
        <v>20</v>
      </c>
      <c r="J56" s="25"/>
      <c r="K56" s="27">
        <f>I56</f>
        <v>20</v>
      </c>
      <c r="L56" s="28">
        <f t="shared" si="40"/>
        <v>150</v>
      </c>
    </row>
    <row r="57" spans="1:12">
      <c r="A57" s="25"/>
      <c r="B57" s="26" t="s">
        <v>50</v>
      </c>
      <c r="C57" s="25">
        <v>1</v>
      </c>
      <c r="D57" s="25">
        <v>1</v>
      </c>
      <c r="E57" s="27">
        <v>40</v>
      </c>
      <c r="F57" s="25"/>
      <c r="G57" s="27">
        <v>20</v>
      </c>
      <c r="H57" s="25"/>
      <c r="I57" s="27">
        <v>15</v>
      </c>
      <c r="J57" s="25"/>
      <c r="K57" s="27">
        <f t="shared" ref="K57:K58" si="45">I57</f>
        <v>15</v>
      </c>
      <c r="L57" s="28">
        <f t="shared" si="40"/>
        <v>40</v>
      </c>
    </row>
    <row r="58" spans="1:12">
      <c r="A58" s="25"/>
      <c r="B58" s="26" t="s">
        <v>51</v>
      </c>
      <c r="C58" s="25">
        <v>1</v>
      </c>
      <c r="D58" s="25">
        <v>1</v>
      </c>
      <c r="E58" s="27">
        <v>30</v>
      </c>
      <c r="F58" s="25"/>
      <c r="G58" s="27">
        <v>15</v>
      </c>
      <c r="H58" s="25"/>
      <c r="I58" s="27">
        <v>10</v>
      </c>
      <c r="J58" s="25"/>
      <c r="K58" s="27">
        <f t="shared" si="45"/>
        <v>10</v>
      </c>
      <c r="L58" s="28">
        <f t="shared" si="40"/>
        <v>30</v>
      </c>
    </row>
    <row r="59" spans="1:12">
      <c r="A59" s="25">
        <v>8</v>
      </c>
      <c r="B59" s="26" t="s">
        <v>69</v>
      </c>
      <c r="C59" s="25"/>
      <c r="D59" s="25"/>
      <c r="E59" s="27"/>
      <c r="F59" s="25"/>
      <c r="G59" s="27"/>
      <c r="H59" s="25"/>
      <c r="I59" s="27"/>
      <c r="J59" s="25"/>
      <c r="K59" s="27"/>
      <c r="L59" s="28"/>
    </row>
    <row r="60" spans="1:12">
      <c r="A60" s="25" t="s">
        <v>70</v>
      </c>
      <c r="B60" s="29" t="s">
        <v>54</v>
      </c>
      <c r="C60" s="25"/>
      <c r="D60" s="25"/>
      <c r="E60" s="27"/>
      <c r="F60" s="25"/>
      <c r="G60" s="27"/>
      <c r="H60" s="25"/>
      <c r="I60" s="27"/>
      <c r="J60" s="25"/>
      <c r="K60" s="27"/>
      <c r="L60" s="28"/>
    </row>
    <row r="61" spans="1:12">
      <c r="A61" s="25"/>
      <c r="B61" s="26" t="s">
        <v>49</v>
      </c>
      <c r="C61" s="25">
        <v>1</v>
      </c>
      <c r="D61" s="25">
        <v>1</v>
      </c>
      <c r="E61" s="27">
        <f>E56*0.75</f>
        <v>37.5</v>
      </c>
      <c r="F61" s="25">
        <v>1</v>
      </c>
      <c r="G61" s="27">
        <f>G56*0.75</f>
        <v>22.5</v>
      </c>
      <c r="H61" s="25">
        <v>1</v>
      </c>
      <c r="I61" s="27">
        <f>I56*0.75</f>
        <v>15</v>
      </c>
      <c r="J61" s="25"/>
      <c r="K61" s="27">
        <f>K56*0.75</f>
        <v>15</v>
      </c>
      <c r="L61" s="28">
        <f t="shared" ref="L61:L63" si="46">(D61*E61)+(F61*G61)+(H61*I61)+(J61*K61)</f>
        <v>75</v>
      </c>
    </row>
    <row r="62" spans="1:12">
      <c r="A62" s="25"/>
      <c r="B62" s="26" t="s">
        <v>50</v>
      </c>
      <c r="C62" s="25"/>
      <c r="D62" s="25"/>
      <c r="E62" s="27">
        <f t="shared" ref="E62:E63" si="47">E57*0.75</f>
        <v>30</v>
      </c>
      <c r="F62" s="25"/>
      <c r="G62" s="27">
        <f t="shared" ref="G62:G63" si="48">G57*0.75</f>
        <v>15</v>
      </c>
      <c r="H62" s="25"/>
      <c r="I62" s="27">
        <f t="shared" ref="I62:I63" si="49">I57*0.75</f>
        <v>11.25</v>
      </c>
      <c r="J62" s="25"/>
      <c r="K62" s="27">
        <f t="shared" ref="K62:K63" si="50">K57*0.75</f>
        <v>11.25</v>
      </c>
      <c r="L62" s="28">
        <f t="shared" si="46"/>
        <v>0</v>
      </c>
    </row>
    <row r="63" spans="1:12">
      <c r="A63" s="25"/>
      <c r="B63" s="26" t="s">
        <v>51</v>
      </c>
      <c r="C63" s="25"/>
      <c r="D63" s="25"/>
      <c r="E63" s="27">
        <f t="shared" si="47"/>
        <v>22.5</v>
      </c>
      <c r="F63" s="25"/>
      <c r="G63" s="27">
        <f t="shared" si="48"/>
        <v>11.25</v>
      </c>
      <c r="H63" s="25"/>
      <c r="I63" s="27">
        <f t="shared" si="49"/>
        <v>7.5</v>
      </c>
      <c r="J63" s="25"/>
      <c r="K63" s="27">
        <f t="shared" si="50"/>
        <v>7.5</v>
      </c>
      <c r="L63" s="28">
        <f t="shared" si="46"/>
        <v>0</v>
      </c>
    </row>
    <row r="64" spans="1:12">
      <c r="A64" s="25" t="s">
        <v>71</v>
      </c>
      <c r="B64" s="29" t="s">
        <v>56</v>
      </c>
      <c r="C64" s="25"/>
      <c r="D64" s="25"/>
      <c r="E64" s="27"/>
      <c r="F64" s="25"/>
      <c r="G64" s="27"/>
      <c r="H64" s="25"/>
      <c r="I64" s="27"/>
      <c r="J64" s="25"/>
      <c r="K64" s="27"/>
      <c r="L64" s="28"/>
    </row>
    <row r="65" spans="1:12">
      <c r="A65" s="25"/>
      <c r="B65" s="26" t="s">
        <v>49</v>
      </c>
      <c r="C65" s="25">
        <v>1</v>
      </c>
      <c r="D65" s="25">
        <v>1</v>
      </c>
      <c r="E65" s="27">
        <f>E56*0.4</f>
        <v>20</v>
      </c>
      <c r="F65" s="25">
        <v>1</v>
      </c>
      <c r="G65" s="27">
        <f>G56*0.4</f>
        <v>12</v>
      </c>
      <c r="H65" s="25">
        <v>1</v>
      </c>
      <c r="I65" s="27">
        <f>I56*0.4</f>
        <v>8</v>
      </c>
      <c r="J65" s="25"/>
      <c r="K65" s="27">
        <f>K56*0.4</f>
        <v>8</v>
      </c>
      <c r="L65" s="28">
        <f t="shared" ref="L65:L67" si="51">(D65*E65)+(F65*G65)+(H65*I65)+(J65*K65)</f>
        <v>40</v>
      </c>
    </row>
    <row r="66" spans="1:12">
      <c r="A66" s="25"/>
      <c r="B66" s="26" t="s">
        <v>50</v>
      </c>
      <c r="C66" s="25">
        <v>1</v>
      </c>
      <c r="D66" s="25">
        <v>1</v>
      </c>
      <c r="E66" s="27">
        <f t="shared" ref="E66:E67" si="52">E57*0.4</f>
        <v>16</v>
      </c>
      <c r="F66" s="25">
        <v>1</v>
      </c>
      <c r="G66" s="27">
        <f t="shared" ref="G66:G67" si="53">G57*0.4</f>
        <v>8</v>
      </c>
      <c r="H66" s="25">
        <v>1</v>
      </c>
      <c r="I66" s="27">
        <f t="shared" ref="I66:I67" si="54">I57*0.4</f>
        <v>6</v>
      </c>
      <c r="J66" s="25"/>
      <c r="K66" s="27">
        <f t="shared" ref="K66:K67" si="55">K57*0.4</f>
        <v>6</v>
      </c>
      <c r="L66" s="28">
        <f t="shared" si="51"/>
        <v>30</v>
      </c>
    </row>
    <row r="67" spans="1:12">
      <c r="A67" s="25"/>
      <c r="B67" s="26" t="s">
        <v>51</v>
      </c>
      <c r="C67" s="25">
        <v>1</v>
      </c>
      <c r="D67" s="25">
        <v>1</v>
      </c>
      <c r="E67" s="27">
        <f t="shared" si="52"/>
        <v>12</v>
      </c>
      <c r="F67" s="25"/>
      <c r="G67" s="27">
        <f t="shared" si="53"/>
        <v>6</v>
      </c>
      <c r="H67" s="25"/>
      <c r="I67" s="27">
        <f t="shared" si="54"/>
        <v>4</v>
      </c>
      <c r="J67" s="25"/>
      <c r="K67" s="27">
        <f t="shared" si="55"/>
        <v>4</v>
      </c>
      <c r="L67" s="28">
        <f t="shared" si="51"/>
        <v>12</v>
      </c>
    </row>
    <row r="68" spans="1:12">
      <c r="A68" s="25" t="s">
        <v>72</v>
      </c>
      <c r="B68" s="29" t="s">
        <v>58</v>
      </c>
      <c r="C68" s="25"/>
      <c r="D68" s="25"/>
      <c r="E68" s="27"/>
      <c r="F68" s="25"/>
      <c r="G68" s="27"/>
      <c r="H68" s="25"/>
      <c r="I68" s="27"/>
      <c r="J68" s="25"/>
      <c r="K68" s="27"/>
      <c r="L68" s="28"/>
    </row>
    <row r="69" spans="1:12">
      <c r="A69" s="25"/>
      <c r="B69" s="26" t="s">
        <v>49</v>
      </c>
      <c r="C69" s="25">
        <v>1</v>
      </c>
      <c r="D69" s="25">
        <v>1</v>
      </c>
      <c r="E69" s="27">
        <f>E56*0.3</f>
        <v>15</v>
      </c>
      <c r="F69" s="25">
        <v>1</v>
      </c>
      <c r="G69" s="27">
        <f>G56*0.3</f>
        <v>9</v>
      </c>
      <c r="H69" s="25">
        <v>1</v>
      </c>
      <c r="I69" s="27">
        <f>I56*0.3</f>
        <v>6</v>
      </c>
      <c r="J69" s="25"/>
      <c r="K69" s="27">
        <f>K56*0.3</f>
        <v>6</v>
      </c>
      <c r="L69" s="28">
        <f t="shared" ref="L69:L71" si="56">(D69*E69)+(F69*G69)+(H69*I69)+(J69*K69)</f>
        <v>30</v>
      </c>
    </row>
    <row r="70" spans="1:12">
      <c r="A70" s="25"/>
      <c r="B70" s="26" t="s">
        <v>50</v>
      </c>
      <c r="C70" s="25"/>
      <c r="D70" s="25"/>
      <c r="E70" s="27">
        <f t="shared" ref="E70:E71" si="57">E57*0.3</f>
        <v>12</v>
      </c>
      <c r="F70" s="25"/>
      <c r="G70" s="27">
        <f t="shared" ref="G70:G71" si="58">G57*0.3</f>
        <v>6</v>
      </c>
      <c r="H70" s="25"/>
      <c r="I70" s="27">
        <f t="shared" ref="I70:I71" si="59">I57*0.3</f>
        <v>4.5</v>
      </c>
      <c r="J70" s="25"/>
      <c r="K70" s="27">
        <f t="shared" ref="K70:K71" si="60">K57*0.3</f>
        <v>4.5</v>
      </c>
      <c r="L70" s="28">
        <f t="shared" si="56"/>
        <v>0</v>
      </c>
    </row>
    <row r="71" spans="1:12">
      <c r="A71" s="25"/>
      <c r="B71" s="26" t="s">
        <v>51</v>
      </c>
      <c r="C71" s="25"/>
      <c r="D71" s="25"/>
      <c r="E71" s="27">
        <f t="shared" si="57"/>
        <v>9</v>
      </c>
      <c r="F71" s="25"/>
      <c r="G71" s="27">
        <f t="shared" si="58"/>
        <v>4.5</v>
      </c>
      <c r="H71" s="25"/>
      <c r="I71" s="27">
        <f t="shared" si="59"/>
        <v>3</v>
      </c>
      <c r="J71" s="25"/>
      <c r="K71" s="27">
        <f t="shared" si="60"/>
        <v>3</v>
      </c>
      <c r="L71" s="28">
        <f t="shared" si="56"/>
        <v>0</v>
      </c>
    </row>
    <row r="72" spans="1:12">
      <c r="A72" s="25" t="s">
        <v>73</v>
      </c>
      <c r="B72" s="29" t="s">
        <v>60</v>
      </c>
      <c r="C72" s="25"/>
      <c r="D72" s="25"/>
      <c r="E72" s="27"/>
      <c r="F72" s="25"/>
      <c r="G72" s="27"/>
      <c r="H72" s="25"/>
      <c r="I72" s="27"/>
      <c r="J72" s="25"/>
      <c r="K72" s="27"/>
      <c r="L72" s="28"/>
    </row>
    <row r="73" spans="1:12">
      <c r="A73" s="25"/>
      <c r="B73" s="26" t="s">
        <v>49</v>
      </c>
      <c r="C73" s="25"/>
      <c r="D73" s="25"/>
      <c r="E73" s="27">
        <f>E56*0.2</f>
        <v>10</v>
      </c>
      <c r="F73" s="25"/>
      <c r="G73" s="27">
        <f>G56*0.2</f>
        <v>6</v>
      </c>
      <c r="H73" s="25"/>
      <c r="I73" s="27">
        <f>I56*0.2</f>
        <v>4</v>
      </c>
      <c r="J73" s="25"/>
      <c r="K73" s="27">
        <f>K56*0.2</f>
        <v>4</v>
      </c>
      <c r="L73" s="28">
        <f t="shared" ref="L73:L81" si="61">(D73*E73)+(F73*G73)+(H73*I73)+(J73*K73)</f>
        <v>0</v>
      </c>
    </row>
    <row r="74" spans="1:12">
      <c r="A74" s="25"/>
      <c r="B74" s="26" t="s">
        <v>50</v>
      </c>
      <c r="C74" s="25">
        <v>1</v>
      </c>
      <c r="D74" s="25">
        <v>1</v>
      </c>
      <c r="E74" s="27">
        <f t="shared" ref="E74:E75" si="62">E57*0.2</f>
        <v>8</v>
      </c>
      <c r="F74" s="25">
        <v>1</v>
      </c>
      <c r="G74" s="27">
        <f t="shared" ref="G74:G75" si="63">G57*0.2</f>
        <v>4</v>
      </c>
      <c r="H74" s="25">
        <v>1</v>
      </c>
      <c r="I74" s="27">
        <f t="shared" ref="I74:I75" si="64">I57*0.2</f>
        <v>3</v>
      </c>
      <c r="J74" s="25"/>
      <c r="K74" s="27">
        <f t="shared" ref="K74:K75" si="65">K57*0.2</f>
        <v>3</v>
      </c>
      <c r="L74" s="28">
        <f t="shared" si="61"/>
        <v>15</v>
      </c>
    </row>
    <row r="75" spans="1:12">
      <c r="A75" s="25"/>
      <c r="B75" s="26" t="s">
        <v>51</v>
      </c>
      <c r="C75" s="25">
        <v>1</v>
      </c>
      <c r="D75" s="25">
        <v>1</v>
      </c>
      <c r="E75" s="27">
        <f t="shared" si="62"/>
        <v>6</v>
      </c>
      <c r="F75" s="25"/>
      <c r="G75" s="27">
        <f t="shared" si="63"/>
        <v>3</v>
      </c>
      <c r="H75" s="25"/>
      <c r="I75" s="27">
        <f t="shared" si="64"/>
        <v>2</v>
      </c>
      <c r="J75" s="25"/>
      <c r="K75" s="27">
        <f t="shared" si="65"/>
        <v>2</v>
      </c>
      <c r="L75" s="28">
        <f t="shared" si="61"/>
        <v>6</v>
      </c>
    </row>
    <row r="76" spans="1:12">
      <c r="A76" s="25">
        <v>9</v>
      </c>
      <c r="B76" s="26" t="s">
        <v>74</v>
      </c>
      <c r="C76" s="25">
        <v>2</v>
      </c>
      <c r="D76" s="25">
        <v>1</v>
      </c>
      <c r="E76" s="27">
        <v>100</v>
      </c>
      <c r="F76" s="25">
        <v>1</v>
      </c>
      <c r="G76" s="27">
        <v>60</v>
      </c>
      <c r="H76" s="25">
        <v>1</v>
      </c>
      <c r="I76" s="27">
        <v>40</v>
      </c>
      <c r="J76" s="25"/>
      <c r="K76" s="27">
        <f>I76</f>
        <v>40</v>
      </c>
      <c r="L76" s="28">
        <f t="shared" si="61"/>
        <v>200</v>
      </c>
    </row>
    <row r="77" spans="1:12">
      <c r="A77" s="25">
        <v>10</v>
      </c>
      <c r="B77" s="26" t="s">
        <v>75</v>
      </c>
      <c r="C77" s="25">
        <v>2</v>
      </c>
      <c r="D77" s="25">
        <v>2</v>
      </c>
      <c r="E77" s="27">
        <v>40</v>
      </c>
      <c r="F77" s="25">
        <v>1</v>
      </c>
      <c r="G77" s="27">
        <v>20</v>
      </c>
      <c r="H77" s="25">
        <v>1</v>
      </c>
      <c r="I77" s="27">
        <v>15</v>
      </c>
      <c r="J77" s="25"/>
      <c r="K77" s="27">
        <f t="shared" ref="K77" si="66">I77</f>
        <v>15</v>
      </c>
      <c r="L77" s="28">
        <f t="shared" si="61"/>
        <v>115</v>
      </c>
    </row>
    <row r="78" spans="1:12">
      <c r="A78" s="25">
        <v>11</v>
      </c>
      <c r="B78" s="26" t="s">
        <v>76</v>
      </c>
      <c r="C78" s="25"/>
      <c r="D78" s="25"/>
      <c r="E78" s="27"/>
      <c r="F78" s="25"/>
      <c r="G78" s="27"/>
      <c r="H78" s="25"/>
      <c r="I78" s="27"/>
      <c r="J78" s="25"/>
      <c r="K78" s="27"/>
      <c r="L78" s="28"/>
    </row>
    <row r="79" spans="1:12">
      <c r="A79" s="25"/>
      <c r="B79" s="26" t="s">
        <v>49</v>
      </c>
      <c r="C79" s="25">
        <v>1</v>
      </c>
      <c r="D79" s="303">
        <v>1</v>
      </c>
      <c r="E79" s="308">
        <v>20</v>
      </c>
      <c r="F79" s="25"/>
      <c r="G79" s="308">
        <v>15</v>
      </c>
      <c r="H79" s="25"/>
      <c r="I79" s="308">
        <v>10</v>
      </c>
      <c r="J79" s="27"/>
      <c r="K79" s="308">
        <v>10</v>
      </c>
      <c r="L79" s="304">
        <f t="shared" si="61"/>
        <v>20</v>
      </c>
    </row>
    <row r="80" spans="1:12">
      <c r="A80" s="25"/>
      <c r="B80" s="26" t="s">
        <v>50</v>
      </c>
      <c r="C80" s="25">
        <v>1</v>
      </c>
      <c r="D80" s="303">
        <v>1</v>
      </c>
      <c r="E80" s="308">
        <v>17</v>
      </c>
      <c r="F80" s="25"/>
      <c r="G80" s="308">
        <v>12.75</v>
      </c>
      <c r="H80" s="25"/>
      <c r="I80" s="308">
        <v>8.5</v>
      </c>
      <c r="J80" s="27"/>
      <c r="K80" s="308">
        <v>8.5</v>
      </c>
      <c r="L80" s="304">
        <f t="shared" si="61"/>
        <v>17</v>
      </c>
    </row>
    <row r="81" spans="1:12">
      <c r="A81" s="25"/>
      <c r="B81" s="26" t="s">
        <v>51</v>
      </c>
      <c r="C81" s="25">
        <v>1</v>
      </c>
      <c r="D81" s="303">
        <v>1</v>
      </c>
      <c r="E81" s="308">
        <v>14</v>
      </c>
      <c r="F81" s="25"/>
      <c r="G81" s="308">
        <v>10.5</v>
      </c>
      <c r="H81" s="25"/>
      <c r="I81" s="308">
        <v>7</v>
      </c>
      <c r="J81" s="27"/>
      <c r="K81" s="308">
        <v>7</v>
      </c>
      <c r="L81" s="304">
        <f t="shared" si="61"/>
        <v>14</v>
      </c>
    </row>
    <row r="82" spans="1:12">
      <c r="A82" s="25"/>
      <c r="B82" s="30" t="s">
        <v>1</v>
      </c>
      <c r="C82" s="31">
        <f>SUM(C8:C78)</f>
        <v>66</v>
      </c>
      <c r="D82" s="31">
        <f>SUM(D8:D78)</f>
        <v>59</v>
      </c>
      <c r="E82" s="25"/>
      <c r="F82" s="31">
        <f>SUM(F8:F78)</f>
        <v>52</v>
      </c>
      <c r="G82" s="25"/>
      <c r="H82" s="31">
        <f>SUM(H8:H78)</f>
        <v>60</v>
      </c>
      <c r="I82" s="25"/>
      <c r="J82" s="31">
        <f>SUM(J8:J78)</f>
        <v>0</v>
      </c>
      <c r="K82" s="27"/>
      <c r="L82" s="32">
        <f>SUM(L8:L81)</f>
        <v>5918.5</v>
      </c>
    </row>
    <row r="83" spans="1:12">
      <c r="A83" s="419" t="s">
        <v>77</v>
      </c>
      <c r="B83" s="420"/>
      <c r="C83" s="420"/>
      <c r="D83" s="420"/>
      <c r="E83" s="421"/>
      <c r="F83" s="420"/>
      <c r="G83" s="421"/>
      <c r="H83" s="420"/>
      <c r="I83" s="421"/>
      <c r="J83" s="420"/>
      <c r="K83" s="421"/>
      <c r="L83" s="422"/>
    </row>
    <row r="84" spans="1:12">
      <c r="A84" s="25">
        <v>1</v>
      </c>
      <c r="B84" s="29" t="s">
        <v>125</v>
      </c>
      <c r="C84" s="25"/>
      <c r="D84" s="25"/>
      <c r="E84" s="27"/>
      <c r="F84" s="25"/>
      <c r="G84" s="27"/>
      <c r="H84" s="25"/>
      <c r="I84" s="27"/>
      <c r="J84" s="25"/>
      <c r="K84" s="27"/>
      <c r="L84" s="28">
        <f>L82*0.75</f>
        <v>4438.875</v>
      </c>
    </row>
    <row r="85" spans="1:12">
      <c r="A85" s="423" t="s">
        <v>78</v>
      </c>
      <c r="B85" s="424"/>
      <c r="C85" s="33"/>
      <c r="D85" s="33"/>
      <c r="E85" s="34"/>
      <c r="F85" s="33"/>
      <c r="G85" s="34"/>
      <c r="H85" s="33"/>
      <c r="I85" s="34"/>
      <c r="J85" s="33"/>
      <c r="K85" s="34"/>
      <c r="L85" s="61">
        <f>L82+L84</f>
        <v>10357.375</v>
      </c>
    </row>
    <row r="86" spans="1:12" ht="9" customHeight="1">
      <c r="A86" s="35"/>
      <c r="B86" s="35"/>
      <c r="C86" s="35"/>
      <c r="D86" s="35"/>
      <c r="E86" s="36"/>
      <c r="F86" s="35"/>
      <c r="G86" s="36"/>
      <c r="H86" s="35"/>
      <c r="I86" s="36"/>
      <c r="J86" s="35"/>
      <c r="K86" s="36"/>
      <c r="L86" s="35"/>
    </row>
    <row r="87" spans="1:12">
      <c r="A87" s="437" t="s">
        <v>123</v>
      </c>
      <c r="B87" s="437"/>
      <c r="C87" s="437"/>
      <c r="D87" s="437"/>
      <c r="E87" s="437"/>
      <c r="F87" s="437"/>
      <c r="G87" s="437"/>
      <c r="H87" s="437"/>
      <c r="I87" s="437"/>
      <c r="J87" s="437"/>
      <c r="K87" s="437"/>
      <c r="L87" s="437"/>
    </row>
    <row r="88" spans="1:12" ht="11.25" customHeight="1"/>
    <row r="89" spans="1:12" s="22" customFormat="1" ht="18.75" customHeight="1">
      <c r="A89" s="428" t="s">
        <v>37</v>
      </c>
      <c r="B89" s="428" t="s">
        <v>38</v>
      </c>
      <c r="C89" s="430" t="s">
        <v>39</v>
      </c>
      <c r="D89" s="432" t="s">
        <v>108</v>
      </c>
      <c r="E89" s="433"/>
      <c r="F89" s="433"/>
      <c r="G89" s="433"/>
      <c r="H89" s="433"/>
      <c r="I89" s="433"/>
      <c r="J89" s="433"/>
      <c r="K89" s="433"/>
      <c r="L89" s="430" t="s">
        <v>40</v>
      </c>
    </row>
    <row r="90" spans="1:12" s="22" customFormat="1" ht="63">
      <c r="A90" s="429"/>
      <c r="B90" s="429"/>
      <c r="C90" s="434"/>
      <c r="D90" s="24" t="s">
        <v>41</v>
      </c>
      <c r="E90" s="24" t="s">
        <v>42</v>
      </c>
      <c r="F90" s="24" t="s">
        <v>43</v>
      </c>
      <c r="G90" s="24" t="s">
        <v>42</v>
      </c>
      <c r="H90" s="24" t="s">
        <v>44</v>
      </c>
      <c r="I90" s="24" t="s">
        <v>42</v>
      </c>
      <c r="J90" s="24" t="s">
        <v>45</v>
      </c>
      <c r="K90" s="24" t="s">
        <v>42</v>
      </c>
      <c r="L90" s="434"/>
    </row>
    <row r="91" spans="1:12">
      <c r="A91" s="419" t="s">
        <v>46</v>
      </c>
      <c r="B91" s="420"/>
      <c r="C91" s="420"/>
      <c r="D91" s="420"/>
      <c r="E91" s="421"/>
      <c r="F91" s="420"/>
      <c r="G91" s="421"/>
      <c r="H91" s="420"/>
      <c r="I91" s="421"/>
      <c r="J91" s="420"/>
      <c r="K91" s="421"/>
      <c r="L91" s="422"/>
    </row>
    <row r="92" spans="1:12">
      <c r="A92" s="25">
        <v>1</v>
      </c>
      <c r="B92" s="29" t="s">
        <v>79</v>
      </c>
      <c r="C92" s="25">
        <v>1</v>
      </c>
      <c r="D92" s="25">
        <v>4</v>
      </c>
      <c r="E92" s="27">
        <v>180</v>
      </c>
      <c r="F92" s="25">
        <v>4</v>
      </c>
      <c r="G92" s="27">
        <v>110</v>
      </c>
      <c r="H92" s="25">
        <v>4</v>
      </c>
      <c r="I92" s="27">
        <v>70</v>
      </c>
      <c r="J92" s="25"/>
      <c r="K92" s="27">
        <f>I92</f>
        <v>70</v>
      </c>
      <c r="L92" s="28">
        <f>(D92*E92)+(F92*G92)+(H92*I92)+(J92*K92)</f>
        <v>1440</v>
      </c>
    </row>
    <row r="93" spans="1:12" ht="31.5">
      <c r="A93" s="25">
        <v>2</v>
      </c>
      <c r="B93" s="37" t="s">
        <v>80</v>
      </c>
      <c r="C93" s="25">
        <v>1</v>
      </c>
      <c r="D93" s="25"/>
      <c r="E93" s="27">
        <v>100</v>
      </c>
      <c r="F93" s="25">
        <v>1</v>
      </c>
      <c r="G93" s="27">
        <v>70</v>
      </c>
      <c r="H93" s="25">
        <v>1</v>
      </c>
      <c r="I93" s="27">
        <v>40</v>
      </c>
      <c r="J93" s="25"/>
      <c r="K93" s="27">
        <f>I93</f>
        <v>40</v>
      </c>
      <c r="L93" s="28">
        <f t="shared" ref="L93:L98" si="67">(D93*E93)+(F93*G93)+(H93*I93)+(J93*K93)</f>
        <v>110</v>
      </c>
    </row>
    <row r="94" spans="1:12">
      <c r="A94" s="25">
        <v>3</v>
      </c>
      <c r="B94" s="29" t="s">
        <v>48</v>
      </c>
      <c r="C94" s="25"/>
      <c r="D94" s="25"/>
      <c r="E94" s="27"/>
      <c r="F94" s="25"/>
      <c r="G94" s="27"/>
      <c r="H94" s="25"/>
      <c r="I94" s="27"/>
      <c r="J94" s="25"/>
      <c r="K94" s="27"/>
      <c r="L94" s="28">
        <f t="shared" si="67"/>
        <v>0</v>
      </c>
    </row>
    <row r="95" spans="1:12">
      <c r="A95" s="25"/>
      <c r="B95" s="26" t="s">
        <v>49</v>
      </c>
      <c r="C95" s="25">
        <v>1</v>
      </c>
      <c r="D95" s="25"/>
      <c r="E95" s="27">
        <v>250</v>
      </c>
      <c r="F95" s="25">
        <v>1</v>
      </c>
      <c r="G95" s="27">
        <v>150</v>
      </c>
      <c r="H95" s="25">
        <v>1</v>
      </c>
      <c r="I95" s="27">
        <v>100</v>
      </c>
      <c r="J95" s="25"/>
      <c r="K95" s="27">
        <f t="shared" ref="K95:K97" si="68">I95</f>
        <v>100</v>
      </c>
      <c r="L95" s="28">
        <f t="shared" si="67"/>
        <v>250</v>
      </c>
    </row>
    <row r="96" spans="1:12">
      <c r="A96" s="25"/>
      <c r="B96" s="26" t="s">
        <v>50</v>
      </c>
      <c r="C96" s="25">
        <v>2</v>
      </c>
      <c r="D96" s="25">
        <v>2</v>
      </c>
      <c r="E96" s="27">
        <v>100</v>
      </c>
      <c r="F96" s="25">
        <v>1</v>
      </c>
      <c r="G96" s="27">
        <v>60</v>
      </c>
      <c r="H96" s="25">
        <v>1</v>
      </c>
      <c r="I96" s="27">
        <v>40</v>
      </c>
      <c r="J96" s="25"/>
      <c r="K96" s="27">
        <f t="shared" si="68"/>
        <v>40</v>
      </c>
      <c r="L96" s="28">
        <f t="shared" si="67"/>
        <v>300</v>
      </c>
    </row>
    <row r="97" spans="1:12">
      <c r="A97" s="25"/>
      <c r="B97" s="26" t="s">
        <v>51</v>
      </c>
      <c r="C97" s="25">
        <v>2</v>
      </c>
      <c r="D97" s="25">
        <v>2</v>
      </c>
      <c r="E97" s="27">
        <v>60</v>
      </c>
      <c r="F97" s="25">
        <v>1</v>
      </c>
      <c r="G97" s="27">
        <v>40</v>
      </c>
      <c r="H97" s="25">
        <v>1</v>
      </c>
      <c r="I97" s="27">
        <v>30</v>
      </c>
      <c r="J97" s="25"/>
      <c r="K97" s="27">
        <f t="shared" si="68"/>
        <v>30</v>
      </c>
      <c r="L97" s="28">
        <f t="shared" si="67"/>
        <v>190</v>
      </c>
    </row>
    <row r="98" spans="1:12">
      <c r="A98" s="25">
        <v>4</v>
      </c>
      <c r="B98" s="29" t="s">
        <v>52</v>
      </c>
      <c r="C98" s="25"/>
      <c r="D98" s="25"/>
      <c r="E98" s="27"/>
      <c r="F98" s="25"/>
      <c r="G98" s="27"/>
      <c r="H98" s="25"/>
      <c r="I98" s="27"/>
      <c r="J98" s="25"/>
      <c r="K98" s="27"/>
      <c r="L98" s="28">
        <f t="shared" si="67"/>
        <v>0</v>
      </c>
    </row>
    <row r="99" spans="1:12">
      <c r="A99" s="25" t="s">
        <v>81</v>
      </c>
      <c r="B99" s="29" t="s">
        <v>54</v>
      </c>
      <c r="C99" s="25"/>
      <c r="D99" s="25"/>
      <c r="E99" s="27"/>
      <c r="F99" s="25"/>
      <c r="G99" s="27"/>
      <c r="H99" s="25"/>
      <c r="I99" s="27"/>
      <c r="J99" s="25"/>
      <c r="K99" s="27"/>
      <c r="L99" s="28"/>
    </row>
    <row r="100" spans="1:12">
      <c r="A100" s="25"/>
      <c r="B100" s="26" t="s">
        <v>49</v>
      </c>
      <c r="C100" s="25">
        <v>1</v>
      </c>
      <c r="D100" s="25"/>
      <c r="E100" s="27">
        <f>E95*0.75</f>
        <v>187.5</v>
      </c>
      <c r="F100" s="25">
        <v>1</v>
      </c>
      <c r="G100" s="27">
        <f>G95*0.75</f>
        <v>112.5</v>
      </c>
      <c r="H100" s="25">
        <v>1</v>
      </c>
      <c r="I100" s="27">
        <f>I95*0.75</f>
        <v>75</v>
      </c>
      <c r="J100" s="25"/>
      <c r="K100" s="27">
        <f>K95*0.75</f>
        <v>75</v>
      </c>
      <c r="L100" s="28">
        <f t="shared" ref="L100:L102" si="69">(D100*E100)+(F100*G100)+(H100*I100)+(J100*K100)</f>
        <v>187.5</v>
      </c>
    </row>
    <row r="101" spans="1:12">
      <c r="A101" s="25"/>
      <c r="B101" s="26" t="s">
        <v>50</v>
      </c>
      <c r="C101" s="25">
        <v>2</v>
      </c>
      <c r="D101" s="25">
        <v>1</v>
      </c>
      <c r="E101" s="27">
        <f t="shared" ref="E101:E102" si="70">E96*0.75</f>
        <v>75</v>
      </c>
      <c r="F101" s="25">
        <v>1</v>
      </c>
      <c r="G101" s="27">
        <f t="shared" ref="G101:G102" si="71">G96*0.75</f>
        <v>45</v>
      </c>
      <c r="H101" s="25">
        <v>1</v>
      </c>
      <c r="I101" s="27">
        <f t="shared" ref="I101:I102" si="72">I96*0.75</f>
        <v>30</v>
      </c>
      <c r="J101" s="25"/>
      <c r="K101" s="27">
        <f t="shared" ref="K101:K102" si="73">K96*0.75</f>
        <v>30</v>
      </c>
      <c r="L101" s="28">
        <f t="shared" si="69"/>
        <v>150</v>
      </c>
    </row>
    <row r="102" spans="1:12">
      <c r="A102" s="25"/>
      <c r="B102" s="26" t="s">
        <v>51</v>
      </c>
      <c r="C102" s="25">
        <v>3</v>
      </c>
      <c r="D102" s="25">
        <v>2</v>
      </c>
      <c r="E102" s="27">
        <f t="shared" si="70"/>
        <v>45</v>
      </c>
      <c r="F102" s="25">
        <v>2</v>
      </c>
      <c r="G102" s="27">
        <f t="shared" si="71"/>
        <v>30</v>
      </c>
      <c r="H102" s="25">
        <v>2</v>
      </c>
      <c r="I102" s="27">
        <f t="shared" si="72"/>
        <v>22.5</v>
      </c>
      <c r="J102" s="25"/>
      <c r="K102" s="27">
        <f t="shared" si="73"/>
        <v>22.5</v>
      </c>
      <c r="L102" s="28">
        <f t="shared" si="69"/>
        <v>195</v>
      </c>
    </row>
    <row r="103" spans="1:12">
      <c r="A103" s="25" t="s">
        <v>82</v>
      </c>
      <c r="B103" s="29" t="s">
        <v>56</v>
      </c>
      <c r="C103" s="25"/>
      <c r="D103" s="25"/>
      <c r="E103" s="27"/>
      <c r="F103" s="25"/>
      <c r="G103" s="27"/>
      <c r="H103" s="25"/>
      <c r="I103" s="27"/>
      <c r="J103" s="25"/>
      <c r="K103" s="27"/>
      <c r="L103" s="28"/>
    </row>
    <row r="104" spans="1:12">
      <c r="A104" s="25"/>
      <c r="B104" s="26" t="s">
        <v>49</v>
      </c>
      <c r="C104" s="25">
        <v>1</v>
      </c>
      <c r="D104" s="25"/>
      <c r="E104" s="27">
        <f>E95*0.4</f>
        <v>100</v>
      </c>
      <c r="F104" s="25">
        <v>1</v>
      </c>
      <c r="G104" s="27">
        <f>G95*0.4</f>
        <v>60</v>
      </c>
      <c r="H104" s="25">
        <v>1</v>
      </c>
      <c r="I104" s="27">
        <f>I95*0.4</f>
        <v>40</v>
      </c>
      <c r="J104" s="25"/>
      <c r="K104" s="27">
        <f>K95*0.4</f>
        <v>40</v>
      </c>
      <c r="L104" s="28">
        <f t="shared" ref="L104:L106" si="74">(D104*E104)+(F104*G104)+(H104*I104)+(J104*K104)</f>
        <v>100</v>
      </c>
    </row>
    <row r="105" spans="1:12">
      <c r="A105" s="25"/>
      <c r="B105" s="26" t="s">
        <v>50</v>
      </c>
      <c r="C105" s="25">
        <v>1</v>
      </c>
      <c r="D105" s="25">
        <v>2</v>
      </c>
      <c r="E105" s="27">
        <f t="shared" ref="E105:E106" si="75">E96*0.4</f>
        <v>40</v>
      </c>
      <c r="F105" s="25">
        <v>1</v>
      </c>
      <c r="G105" s="27">
        <f t="shared" ref="G105:G106" si="76">G96*0.4</f>
        <v>24</v>
      </c>
      <c r="H105" s="25">
        <v>1</v>
      </c>
      <c r="I105" s="27">
        <f t="shared" ref="I105:I106" si="77">I96*0.4</f>
        <v>16</v>
      </c>
      <c r="J105" s="25"/>
      <c r="K105" s="27">
        <f t="shared" ref="K105:K106" si="78">K96*0.4</f>
        <v>16</v>
      </c>
      <c r="L105" s="28">
        <f t="shared" si="74"/>
        <v>120</v>
      </c>
    </row>
    <row r="106" spans="1:12">
      <c r="A106" s="25"/>
      <c r="B106" s="26" t="s">
        <v>51</v>
      </c>
      <c r="C106" s="25">
        <v>1</v>
      </c>
      <c r="D106" s="25">
        <v>1</v>
      </c>
      <c r="E106" s="27">
        <f t="shared" si="75"/>
        <v>24</v>
      </c>
      <c r="F106" s="25">
        <v>1</v>
      </c>
      <c r="G106" s="27">
        <f t="shared" si="76"/>
        <v>16</v>
      </c>
      <c r="H106" s="25">
        <v>1</v>
      </c>
      <c r="I106" s="27">
        <f t="shared" si="77"/>
        <v>12</v>
      </c>
      <c r="J106" s="25"/>
      <c r="K106" s="27">
        <f t="shared" si="78"/>
        <v>12</v>
      </c>
      <c r="L106" s="28">
        <f t="shared" si="74"/>
        <v>52</v>
      </c>
    </row>
    <row r="107" spans="1:12">
      <c r="A107" s="25" t="s">
        <v>83</v>
      </c>
      <c r="B107" s="29" t="s">
        <v>58</v>
      </c>
      <c r="C107" s="25"/>
      <c r="D107" s="25"/>
      <c r="E107" s="27"/>
      <c r="F107" s="25"/>
      <c r="G107" s="27"/>
      <c r="H107" s="25"/>
      <c r="I107" s="27"/>
      <c r="J107" s="25"/>
      <c r="K107" s="27"/>
      <c r="L107" s="28"/>
    </row>
    <row r="108" spans="1:12">
      <c r="A108" s="25"/>
      <c r="B108" s="26" t="s">
        <v>49</v>
      </c>
      <c r="C108" s="25">
        <v>1</v>
      </c>
      <c r="D108" s="25">
        <v>1</v>
      </c>
      <c r="E108" s="27">
        <f>E95*0.3</f>
        <v>75</v>
      </c>
      <c r="F108" s="25">
        <v>1</v>
      </c>
      <c r="G108" s="27">
        <f>G95*0.3</f>
        <v>45</v>
      </c>
      <c r="H108" s="25">
        <v>1</v>
      </c>
      <c r="I108" s="27">
        <f>I95*0.3</f>
        <v>30</v>
      </c>
      <c r="J108" s="25"/>
      <c r="K108" s="27">
        <f>K95*0.3</f>
        <v>30</v>
      </c>
      <c r="L108" s="28">
        <f t="shared" ref="L108:L110" si="79">(D108*E108)+(F108*G108)+(H108*I108)+(J108*K108)</f>
        <v>150</v>
      </c>
    </row>
    <row r="109" spans="1:12">
      <c r="A109" s="25"/>
      <c r="B109" s="26" t="s">
        <v>50</v>
      </c>
      <c r="C109" s="25">
        <v>1</v>
      </c>
      <c r="D109" s="25">
        <v>1</v>
      </c>
      <c r="E109" s="27">
        <f t="shared" ref="E109:E110" si="80">E96*0.3</f>
        <v>30</v>
      </c>
      <c r="F109" s="25">
        <v>1</v>
      </c>
      <c r="G109" s="27">
        <f t="shared" ref="G109:G110" si="81">G96*0.3</f>
        <v>18</v>
      </c>
      <c r="H109" s="25">
        <v>1</v>
      </c>
      <c r="I109" s="27">
        <f t="shared" ref="I109:I110" si="82">I96*0.3</f>
        <v>12</v>
      </c>
      <c r="J109" s="25"/>
      <c r="K109" s="27">
        <f t="shared" ref="K109:K110" si="83">K96*0.3</f>
        <v>12</v>
      </c>
      <c r="L109" s="28">
        <f t="shared" si="79"/>
        <v>60</v>
      </c>
    </row>
    <row r="110" spans="1:12">
      <c r="A110" s="25"/>
      <c r="B110" s="26" t="s">
        <v>51</v>
      </c>
      <c r="C110" s="25">
        <v>3</v>
      </c>
      <c r="D110" s="25">
        <v>2</v>
      </c>
      <c r="E110" s="27">
        <f t="shared" si="80"/>
        <v>18</v>
      </c>
      <c r="F110" s="25">
        <v>3</v>
      </c>
      <c r="G110" s="27">
        <f t="shared" si="81"/>
        <v>12</v>
      </c>
      <c r="H110" s="25">
        <v>5</v>
      </c>
      <c r="I110" s="27">
        <f t="shared" si="82"/>
        <v>9</v>
      </c>
      <c r="J110" s="25"/>
      <c r="K110" s="27">
        <f t="shared" si="83"/>
        <v>9</v>
      </c>
      <c r="L110" s="28">
        <f t="shared" si="79"/>
        <v>117</v>
      </c>
    </row>
    <row r="111" spans="1:12">
      <c r="A111" s="25" t="s">
        <v>84</v>
      </c>
      <c r="B111" s="29" t="s">
        <v>60</v>
      </c>
      <c r="C111" s="25"/>
      <c r="D111" s="25"/>
      <c r="E111" s="27"/>
      <c r="F111" s="25"/>
      <c r="G111" s="27"/>
      <c r="H111" s="25"/>
      <c r="I111" s="27"/>
      <c r="J111" s="25"/>
      <c r="K111" s="27"/>
      <c r="L111" s="28"/>
    </row>
    <row r="112" spans="1:12">
      <c r="A112" s="25"/>
      <c r="B112" s="26" t="s">
        <v>49</v>
      </c>
      <c r="C112" s="25">
        <v>1</v>
      </c>
      <c r="D112" s="25">
        <v>1</v>
      </c>
      <c r="E112" s="27">
        <f>E95*0.2</f>
        <v>50</v>
      </c>
      <c r="F112" s="25">
        <v>1</v>
      </c>
      <c r="G112" s="27">
        <f>G95*0.2</f>
        <v>30</v>
      </c>
      <c r="H112" s="25">
        <v>1</v>
      </c>
      <c r="I112" s="27">
        <f>I95*0.2</f>
        <v>20</v>
      </c>
      <c r="J112" s="25"/>
      <c r="K112" s="27">
        <f>K95*0.2</f>
        <v>20</v>
      </c>
      <c r="L112" s="28">
        <f t="shared" ref="L112:L122" si="84">(D112*E112)+(F112*G112)+(H112*I112)+(J112*K112)</f>
        <v>100</v>
      </c>
    </row>
    <row r="113" spans="1:12">
      <c r="A113" s="25"/>
      <c r="B113" s="26" t="s">
        <v>50</v>
      </c>
      <c r="C113" s="25">
        <v>1</v>
      </c>
      <c r="D113" s="25">
        <v>1</v>
      </c>
      <c r="E113" s="27">
        <f t="shared" ref="E113:E114" si="85">E96*0.2</f>
        <v>20</v>
      </c>
      <c r="F113" s="25">
        <v>1</v>
      </c>
      <c r="G113" s="27">
        <f t="shared" ref="G113:G114" si="86">G96*0.2</f>
        <v>12</v>
      </c>
      <c r="H113" s="25">
        <v>1</v>
      </c>
      <c r="I113" s="27">
        <f t="shared" ref="I113:I114" si="87">I96*0.2</f>
        <v>8</v>
      </c>
      <c r="J113" s="25"/>
      <c r="K113" s="27">
        <f t="shared" ref="K113:K114" si="88">K96*0.2</f>
        <v>8</v>
      </c>
      <c r="L113" s="28">
        <f t="shared" si="84"/>
        <v>40</v>
      </c>
    </row>
    <row r="114" spans="1:12">
      <c r="A114" s="25"/>
      <c r="B114" s="26" t="s">
        <v>51</v>
      </c>
      <c r="C114" s="25">
        <v>3</v>
      </c>
      <c r="D114" s="25">
        <v>5</v>
      </c>
      <c r="E114" s="27">
        <f t="shared" si="85"/>
        <v>12</v>
      </c>
      <c r="F114" s="25">
        <v>5</v>
      </c>
      <c r="G114" s="27">
        <f t="shared" si="86"/>
        <v>8</v>
      </c>
      <c r="H114" s="25">
        <v>10</v>
      </c>
      <c r="I114" s="27">
        <f t="shared" si="87"/>
        <v>6</v>
      </c>
      <c r="J114" s="25"/>
      <c r="K114" s="27">
        <f t="shared" si="88"/>
        <v>6</v>
      </c>
      <c r="L114" s="28">
        <f t="shared" si="84"/>
        <v>160</v>
      </c>
    </row>
    <row r="115" spans="1:12">
      <c r="A115" s="25">
        <v>5</v>
      </c>
      <c r="B115" s="29" t="s">
        <v>61</v>
      </c>
      <c r="C115" s="25"/>
      <c r="D115" s="25"/>
      <c r="E115" s="27"/>
      <c r="F115" s="25"/>
      <c r="G115" s="27"/>
      <c r="H115" s="25"/>
      <c r="I115" s="27"/>
      <c r="J115" s="25"/>
      <c r="K115" s="27"/>
      <c r="L115" s="28">
        <f t="shared" si="84"/>
        <v>0</v>
      </c>
    </row>
    <row r="116" spans="1:12">
      <c r="A116" s="25"/>
      <c r="B116" s="26" t="s">
        <v>49</v>
      </c>
      <c r="C116" s="25">
        <v>2</v>
      </c>
      <c r="D116" s="25">
        <v>1</v>
      </c>
      <c r="E116" s="27">
        <f>E95/2</f>
        <v>125</v>
      </c>
      <c r="F116" s="25">
        <v>1</v>
      </c>
      <c r="G116" s="27">
        <f>G95/2</f>
        <v>75</v>
      </c>
      <c r="H116" s="25">
        <v>1</v>
      </c>
      <c r="I116" s="27">
        <f>I95/2</f>
        <v>50</v>
      </c>
      <c r="J116" s="25"/>
      <c r="K116" s="27">
        <f>K95/2</f>
        <v>50</v>
      </c>
      <c r="L116" s="28">
        <f t="shared" si="84"/>
        <v>250</v>
      </c>
    </row>
    <row r="117" spans="1:12">
      <c r="A117" s="25"/>
      <c r="B117" s="26" t="s">
        <v>50</v>
      </c>
      <c r="C117" s="25">
        <v>4</v>
      </c>
      <c r="D117" s="25">
        <v>2</v>
      </c>
      <c r="E117" s="27">
        <f t="shared" ref="E117:E118" si="89">E96/2</f>
        <v>50</v>
      </c>
      <c r="F117" s="25">
        <v>3</v>
      </c>
      <c r="G117" s="27">
        <f t="shared" ref="G117:G118" si="90">G96/2</f>
        <v>30</v>
      </c>
      <c r="H117" s="25">
        <v>4</v>
      </c>
      <c r="I117" s="27">
        <f>I96/2</f>
        <v>20</v>
      </c>
      <c r="J117" s="25"/>
      <c r="K117" s="27">
        <f>K96/2</f>
        <v>20</v>
      </c>
      <c r="L117" s="28">
        <f t="shared" si="84"/>
        <v>270</v>
      </c>
    </row>
    <row r="118" spans="1:12">
      <c r="A118" s="25"/>
      <c r="B118" s="26" t="s">
        <v>51</v>
      </c>
      <c r="C118" s="25">
        <v>5</v>
      </c>
      <c r="D118" s="25">
        <v>6</v>
      </c>
      <c r="E118" s="27">
        <f t="shared" si="89"/>
        <v>30</v>
      </c>
      <c r="F118" s="25">
        <v>6</v>
      </c>
      <c r="G118" s="27">
        <f t="shared" si="90"/>
        <v>20</v>
      </c>
      <c r="H118" s="25">
        <v>6</v>
      </c>
      <c r="I118" s="27">
        <f>I97/2</f>
        <v>15</v>
      </c>
      <c r="J118" s="25"/>
      <c r="K118" s="27">
        <f>K97/2</f>
        <v>15</v>
      </c>
      <c r="L118" s="28">
        <f t="shared" si="84"/>
        <v>390</v>
      </c>
    </row>
    <row r="119" spans="1:12">
      <c r="A119" s="25">
        <v>6</v>
      </c>
      <c r="B119" s="26" t="s">
        <v>62</v>
      </c>
      <c r="C119" s="25"/>
      <c r="D119" s="25"/>
      <c r="E119" s="27"/>
      <c r="F119" s="25"/>
      <c r="G119" s="27"/>
      <c r="H119" s="25"/>
      <c r="I119" s="27"/>
      <c r="J119" s="25"/>
      <c r="K119" s="27"/>
      <c r="L119" s="28">
        <f t="shared" si="84"/>
        <v>0</v>
      </c>
    </row>
    <row r="120" spans="1:12">
      <c r="A120" s="25"/>
      <c r="B120" s="26" t="s">
        <v>49</v>
      </c>
      <c r="C120" s="25">
        <v>1</v>
      </c>
      <c r="D120" s="25">
        <v>1</v>
      </c>
      <c r="E120" s="27">
        <v>100</v>
      </c>
      <c r="F120" s="25">
        <v>1</v>
      </c>
      <c r="G120" s="27">
        <v>60</v>
      </c>
      <c r="H120" s="25">
        <v>1</v>
      </c>
      <c r="I120" s="27">
        <v>40</v>
      </c>
      <c r="J120" s="25"/>
      <c r="K120" s="27">
        <f>I120</f>
        <v>40</v>
      </c>
      <c r="L120" s="28">
        <f t="shared" si="84"/>
        <v>200</v>
      </c>
    </row>
    <row r="121" spans="1:12">
      <c r="A121" s="25"/>
      <c r="B121" s="26" t="s">
        <v>50</v>
      </c>
      <c r="C121" s="25">
        <v>1</v>
      </c>
      <c r="D121" s="25">
        <v>1</v>
      </c>
      <c r="E121" s="27">
        <v>60</v>
      </c>
      <c r="F121" s="25">
        <v>1</v>
      </c>
      <c r="G121" s="27">
        <v>40</v>
      </c>
      <c r="H121" s="25">
        <v>1</v>
      </c>
      <c r="I121" s="27">
        <v>30</v>
      </c>
      <c r="J121" s="25"/>
      <c r="K121" s="27">
        <f t="shared" ref="K121:K122" si="91">I121</f>
        <v>30</v>
      </c>
      <c r="L121" s="28">
        <f t="shared" si="84"/>
        <v>130</v>
      </c>
    </row>
    <row r="122" spans="1:12">
      <c r="A122" s="25"/>
      <c r="B122" s="26" t="s">
        <v>51</v>
      </c>
      <c r="C122" s="25">
        <v>1</v>
      </c>
      <c r="D122" s="25">
        <v>1</v>
      </c>
      <c r="E122" s="27">
        <v>40</v>
      </c>
      <c r="F122" s="25">
        <v>1</v>
      </c>
      <c r="G122" s="27">
        <v>30</v>
      </c>
      <c r="H122" s="25">
        <v>1</v>
      </c>
      <c r="I122" s="27">
        <v>20</v>
      </c>
      <c r="J122" s="25"/>
      <c r="K122" s="27">
        <f t="shared" si="91"/>
        <v>20</v>
      </c>
      <c r="L122" s="28">
        <f t="shared" si="84"/>
        <v>90</v>
      </c>
    </row>
    <row r="123" spans="1:12">
      <c r="A123" s="25">
        <v>7</v>
      </c>
      <c r="B123" s="26" t="s">
        <v>63</v>
      </c>
      <c r="C123" s="25"/>
      <c r="D123" s="25"/>
      <c r="E123" s="27"/>
      <c r="F123" s="25"/>
      <c r="G123" s="27"/>
      <c r="H123" s="25"/>
      <c r="I123" s="27"/>
      <c r="J123" s="25"/>
      <c r="K123" s="27"/>
      <c r="L123" s="28"/>
    </row>
    <row r="124" spans="1:12">
      <c r="A124" s="25" t="s">
        <v>85</v>
      </c>
      <c r="B124" s="29" t="s">
        <v>54</v>
      </c>
      <c r="C124" s="25"/>
      <c r="D124" s="25"/>
      <c r="E124" s="27"/>
      <c r="F124" s="25"/>
      <c r="G124" s="27"/>
      <c r="H124" s="25"/>
      <c r="I124" s="27"/>
      <c r="J124" s="25"/>
      <c r="K124" s="27"/>
      <c r="L124" s="28"/>
    </row>
    <row r="125" spans="1:12">
      <c r="A125" s="25"/>
      <c r="B125" s="26" t="s">
        <v>49</v>
      </c>
      <c r="C125" s="25">
        <v>1</v>
      </c>
      <c r="D125" s="25"/>
      <c r="E125" s="27">
        <f>E120*0.75</f>
        <v>75</v>
      </c>
      <c r="F125" s="25"/>
      <c r="G125" s="27">
        <f>G120*0.75</f>
        <v>45</v>
      </c>
      <c r="H125" s="25">
        <v>1</v>
      </c>
      <c r="I125" s="27">
        <f>I120*0.75</f>
        <v>30</v>
      </c>
      <c r="J125" s="25"/>
      <c r="K125" s="27">
        <f>K120*0.75</f>
        <v>30</v>
      </c>
      <c r="L125" s="28">
        <f t="shared" ref="L125:L127" si="92">(D125*E125)+(F125*G125)+(H125*I125)+(J125*K125)</f>
        <v>30</v>
      </c>
    </row>
    <row r="126" spans="1:12">
      <c r="A126" s="25"/>
      <c r="B126" s="26" t="s">
        <v>50</v>
      </c>
      <c r="C126" s="25">
        <v>1</v>
      </c>
      <c r="D126" s="25"/>
      <c r="E126" s="27">
        <f t="shared" ref="E126:E127" si="93">E121*0.75</f>
        <v>45</v>
      </c>
      <c r="F126" s="25">
        <v>1</v>
      </c>
      <c r="G126" s="27">
        <f t="shared" ref="G126:G127" si="94">G121*0.75</f>
        <v>30</v>
      </c>
      <c r="H126" s="25"/>
      <c r="I126" s="27">
        <f t="shared" ref="I126:I127" si="95">I121*0.75</f>
        <v>22.5</v>
      </c>
      <c r="J126" s="25"/>
      <c r="K126" s="27">
        <f t="shared" ref="K126:K127" si="96">K121*0.75</f>
        <v>22.5</v>
      </c>
      <c r="L126" s="28">
        <f t="shared" si="92"/>
        <v>30</v>
      </c>
    </row>
    <row r="127" spans="1:12">
      <c r="A127" s="25"/>
      <c r="B127" s="26" t="s">
        <v>51</v>
      </c>
      <c r="C127" s="25">
        <v>1</v>
      </c>
      <c r="D127" s="25">
        <v>1</v>
      </c>
      <c r="E127" s="27">
        <f t="shared" si="93"/>
        <v>30</v>
      </c>
      <c r="F127" s="25"/>
      <c r="G127" s="27">
        <f t="shared" si="94"/>
        <v>22.5</v>
      </c>
      <c r="H127" s="25"/>
      <c r="I127" s="27">
        <f t="shared" si="95"/>
        <v>15</v>
      </c>
      <c r="J127" s="25"/>
      <c r="K127" s="27">
        <f t="shared" si="96"/>
        <v>15</v>
      </c>
      <c r="L127" s="28">
        <f t="shared" si="92"/>
        <v>30</v>
      </c>
    </row>
    <row r="128" spans="1:12">
      <c r="A128" s="25" t="s">
        <v>86</v>
      </c>
      <c r="B128" s="29" t="s">
        <v>56</v>
      </c>
      <c r="C128" s="25"/>
      <c r="D128" s="25"/>
      <c r="E128" s="27"/>
      <c r="F128" s="25"/>
      <c r="G128" s="27"/>
      <c r="H128" s="25"/>
      <c r="I128" s="27"/>
      <c r="J128" s="25"/>
      <c r="K128" s="27"/>
      <c r="L128" s="28"/>
    </row>
    <row r="129" spans="1:12">
      <c r="A129" s="25"/>
      <c r="B129" s="26" t="s">
        <v>49</v>
      </c>
      <c r="C129" s="25">
        <v>1</v>
      </c>
      <c r="D129" s="25"/>
      <c r="E129" s="27">
        <f>E120*0.4</f>
        <v>40</v>
      </c>
      <c r="F129" s="25"/>
      <c r="G129" s="27">
        <f>G120*0.4</f>
        <v>24</v>
      </c>
      <c r="H129" s="25">
        <v>1</v>
      </c>
      <c r="I129" s="27">
        <f>I120*0.4</f>
        <v>16</v>
      </c>
      <c r="J129" s="25"/>
      <c r="K129" s="27">
        <f>K120*0.4</f>
        <v>16</v>
      </c>
      <c r="L129" s="28">
        <f t="shared" ref="L129:L131" si="97">(D129*E129)+(F129*G129)+(H129*I129)+(J129*K129)</f>
        <v>16</v>
      </c>
    </row>
    <row r="130" spans="1:12">
      <c r="A130" s="25"/>
      <c r="B130" s="26" t="s">
        <v>50</v>
      </c>
      <c r="C130" s="25">
        <v>1</v>
      </c>
      <c r="D130" s="25"/>
      <c r="E130" s="27">
        <f t="shared" ref="E130:E131" si="98">E121*0.4</f>
        <v>24</v>
      </c>
      <c r="F130" s="25">
        <v>1</v>
      </c>
      <c r="G130" s="27">
        <f t="shared" ref="G130:G131" si="99">G121*0.4</f>
        <v>16</v>
      </c>
      <c r="H130" s="25"/>
      <c r="I130" s="27">
        <f t="shared" ref="I130:I131" si="100">I121*0.4</f>
        <v>12</v>
      </c>
      <c r="J130" s="25"/>
      <c r="K130" s="27">
        <f t="shared" ref="K130:K131" si="101">K121*0.4</f>
        <v>12</v>
      </c>
      <c r="L130" s="28">
        <f t="shared" si="97"/>
        <v>16</v>
      </c>
    </row>
    <row r="131" spans="1:12">
      <c r="A131" s="25"/>
      <c r="B131" s="26" t="s">
        <v>51</v>
      </c>
      <c r="C131" s="25">
        <v>1</v>
      </c>
      <c r="D131" s="25">
        <v>1</v>
      </c>
      <c r="E131" s="27">
        <f t="shared" si="98"/>
        <v>16</v>
      </c>
      <c r="F131" s="25"/>
      <c r="G131" s="27">
        <f t="shared" si="99"/>
        <v>12</v>
      </c>
      <c r="H131" s="25"/>
      <c r="I131" s="27">
        <f t="shared" si="100"/>
        <v>8</v>
      </c>
      <c r="J131" s="25"/>
      <c r="K131" s="27">
        <f t="shared" si="101"/>
        <v>8</v>
      </c>
      <c r="L131" s="28">
        <f t="shared" si="97"/>
        <v>16</v>
      </c>
    </row>
    <row r="132" spans="1:12">
      <c r="A132" s="25" t="s">
        <v>87</v>
      </c>
      <c r="B132" s="29" t="s">
        <v>58</v>
      </c>
      <c r="C132" s="25"/>
      <c r="D132" s="25"/>
      <c r="E132" s="27"/>
      <c r="F132" s="25"/>
      <c r="G132" s="27"/>
      <c r="H132" s="25"/>
      <c r="I132" s="27"/>
      <c r="J132" s="25"/>
      <c r="K132" s="27"/>
      <c r="L132" s="28"/>
    </row>
    <row r="133" spans="1:12">
      <c r="A133" s="25"/>
      <c r="B133" s="26" t="s">
        <v>49</v>
      </c>
      <c r="C133" s="25">
        <v>1</v>
      </c>
      <c r="D133" s="25"/>
      <c r="E133" s="27">
        <f>E120*0.3</f>
        <v>30</v>
      </c>
      <c r="F133" s="25"/>
      <c r="G133" s="27">
        <f>G120*0.3</f>
        <v>18</v>
      </c>
      <c r="H133" s="25">
        <v>1</v>
      </c>
      <c r="I133" s="27">
        <f>I120*0.3</f>
        <v>12</v>
      </c>
      <c r="J133" s="25"/>
      <c r="K133" s="27">
        <f>K120*0.3</f>
        <v>12</v>
      </c>
      <c r="L133" s="28">
        <f t="shared" ref="L133:L135" si="102">(D133*E133)+(F133*G133)+(H133*I133)+(J133*K133)</f>
        <v>12</v>
      </c>
    </row>
    <row r="134" spans="1:12">
      <c r="A134" s="25"/>
      <c r="B134" s="26" t="s">
        <v>50</v>
      </c>
      <c r="C134" s="25">
        <v>1</v>
      </c>
      <c r="D134" s="25"/>
      <c r="E134" s="27">
        <f t="shared" ref="E134:E135" si="103">E121*0.3</f>
        <v>18</v>
      </c>
      <c r="F134" s="25">
        <v>1</v>
      </c>
      <c r="G134" s="27">
        <f t="shared" ref="G134:G135" si="104">G121*0.3</f>
        <v>12</v>
      </c>
      <c r="H134" s="25"/>
      <c r="I134" s="27">
        <f t="shared" ref="I134:I135" si="105">I121*0.3</f>
        <v>9</v>
      </c>
      <c r="J134" s="25"/>
      <c r="K134" s="27">
        <f t="shared" ref="K134:K135" si="106">K121*0.3</f>
        <v>9</v>
      </c>
      <c r="L134" s="28">
        <f t="shared" si="102"/>
        <v>12</v>
      </c>
    </row>
    <row r="135" spans="1:12">
      <c r="A135" s="25"/>
      <c r="B135" s="26" t="s">
        <v>51</v>
      </c>
      <c r="C135" s="25">
        <v>1</v>
      </c>
      <c r="D135" s="25">
        <v>1</v>
      </c>
      <c r="E135" s="27">
        <f t="shared" si="103"/>
        <v>12</v>
      </c>
      <c r="F135" s="25"/>
      <c r="G135" s="27">
        <f t="shared" si="104"/>
        <v>9</v>
      </c>
      <c r="H135" s="25"/>
      <c r="I135" s="27">
        <f t="shared" si="105"/>
        <v>6</v>
      </c>
      <c r="J135" s="25"/>
      <c r="K135" s="27">
        <f t="shared" si="106"/>
        <v>6</v>
      </c>
      <c r="L135" s="28">
        <f t="shared" si="102"/>
        <v>12</v>
      </c>
    </row>
    <row r="136" spans="1:12">
      <c r="A136" s="25" t="s">
        <v>88</v>
      </c>
      <c r="B136" s="29" t="s">
        <v>60</v>
      </c>
      <c r="C136" s="25"/>
      <c r="D136" s="25"/>
      <c r="E136" s="27"/>
      <c r="F136" s="25"/>
      <c r="G136" s="27"/>
      <c r="H136" s="25"/>
      <c r="I136" s="27"/>
      <c r="J136" s="25"/>
      <c r="K136" s="27"/>
      <c r="L136" s="28"/>
    </row>
    <row r="137" spans="1:12">
      <c r="A137" s="25"/>
      <c r="B137" s="26" t="s">
        <v>49</v>
      </c>
      <c r="C137" s="25">
        <v>1</v>
      </c>
      <c r="D137" s="25"/>
      <c r="E137" s="27">
        <f>E120*0.2</f>
        <v>20</v>
      </c>
      <c r="F137" s="25"/>
      <c r="G137" s="27">
        <f>G120*0.2</f>
        <v>12</v>
      </c>
      <c r="H137" s="25">
        <v>1</v>
      </c>
      <c r="I137" s="27">
        <f>I120*0.2</f>
        <v>8</v>
      </c>
      <c r="J137" s="25"/>
      <c r="K137" s="27">
        <f>K120*0.2</f>
        <v>8</v>
      </c>
      <c r="L137" s="28">
        <f t="shared" ref="L137:L143" si="107">(D137*E137)+(F137*G137)+(H137*I137)+(J137*K137)</f>
        <v>8</v>
      </c>
    </row>
    <row r="138" spans="1:12">
      <c r="A138" s="25"/>
      <c r="B138" s="26" t="s">
        <v>50</v>
      </c>
      <c r="C138" s="25">
        <v>1</v>
      </c>
      <c r="D138" s="25"/>
      <c r="E138" s="27">
        <f t="shared" ref="E138:E139" si="108">E121*0.2</f>
        <v>12</v>
      </c>
      <c r="F138" s="25">
        <v>1</v>
      </c>
      <c r="G138" s="27">
        <f t="shared" ref="G138:G139" si="109">G121*0.2</f>
        <v>8</v>
      </c>
      <c r="H138" s="25"/>
      <c r="I138" s="27">
        <f t="shared" ref="I138:I139" si="110">I121*0.2</f>
        <v>6</v>
      </c>
      <c r="J138" s="25"/>
      <c r="K138" s="27">
        <f t="shared" ref="K138:K139" si="111">K121*0.2</f>
        <v>6</v>
      </c>
      <c r="L138" s="28">
        <f t="shared" si="107"/>
        <v>8</v>
      </c>
    </row>
    <row r="139" spans="1:12">
      <c r="A139" s="25"/>
      <c r="B139" s="26" t="s">
        <v>51</v>
      </c>
      <c r="C139" s="25">
        <v>1</v>
      </c>
      <c r="D139" s="25">
        <v>1</v>
      </c>
      <c r="E139" s="27">
        <f t="shared" si="108"/>
        <v>8</v>
      </c>
      <c r="F139" s="25"/>
      <c r="G139" s="27">
        <f t="shared" si="109"/>
        <v>6</v>
      </c>
      <c r="H139" s="25"/>
      <c r="I139" s="27">
        <f t="shared" si="110"/>
        <v>4</v>
      </c>
      <c r="J139" s="25"/>
      <c r="K139" s="27">
        <f t="shared" si="111"/>
        <v>4</v>
      </c>
      <c r="L139" s="28">
        <f t="shared" si="107"/>
        <v>8</v>
      </c>
    </row>
    <row r="140" spans="1:12">
      <c r="A140" s="25">
        <v>8</v>
      </c>
      <c r="B140" s="26" t="s">
        <v>68</v>
      </c>
      <c r="C140" s="25"/>
      <c r="D140" s="25"/>
      <c r="E140" s="27"/>
      <c r="F140" s="25"/>
      <c r="G140" s="27"/>
      <c r="H140" s="25"/>
      <c r="I140" s="27"/>
      <c r="J140" s="25"/>
      <c r="K140" s="27"/>
      <c r="L140" s="28">
        <f t="shared" si="107"/>
        <v>0</v>
      </c>
    </row>
    <row r="141" spans="1:12">
      <c r="A141" s="25"/>
      <c r="B141" s="26" t="s">
        <v>49</v>
      </c>
      <c r="C141" s="25">
        <v>2</v>
      </c>
      <c r="D141" s="25">
        <v>2</v>
      </c>
      <c r="E141" s="27">
        <v>50</v>
      </c>
      <c r="F141" s="25">
        <v>1</v>
      </c>
      <c r="G141" s="27">
        <v>30</v>
      </c>
      <c r="H141" s="25">
        <v>1</v>
      </c>
      <c r="I141" s="27">
        <v>20</v>
      </c>
      <c r="J141" s="25"/>
      <c r="K141" s="27">
        <f>I141</f>
        <v>20</v>
      </c>
      <c r="L141" s="28">
        <f t="shared" si="107"/>
        <v>150</v>
      </c>
    </row>
    <row r="142" spans="1:12">
      <c r="A142" s="25"/>
      <c r="B142" s="26" t="s">
        <v>50</v>
      </c>
      <c r="C142" s="25">
        <v>1</v>
      </c>
      <c r="D142" s="25">
        <v>1</v>
      </c>
      <c r="E142" s="27">
        <v>40</v>
      </c>
      <c r="F142" s="25"/>
      <c r="G142" s="27">
        <v>20</v>
      </c>
      <c r="H142" s="25"/>
      <c r="I142" s="27">
        <v>15</v>
      </c>
      <c r="J142" s="25"/>
      <c r="K142" s="27">
        <f t="shared" ref="K142:K143" si="112">I142</f>
        <v>15</v>
      </c>
      <c r="L142" s="28">
        <f t="shared" si="107"/>
        <v>40</v>
      </c>
    </row>
    <row r="143" spans="1:12">
      <c r="A143" s="25"/>
      <c r="B143" s="26" t="s">
        <v>51</v>
      </c>
      <c r="C143" s="25">
        <v>1</v>
      </c>
      <c r="D143" s="25">
        <v>1</v>
      </c>
      <c r="E143" s="27">
        <v>30</v>
      </c>
      <c r="F143" s="25"/>
      <c r="G143" s="27">
        <v>15</v>
      </c>
      <c r="H143" s="25"/>
      <c r="I143" s="27">
        <v>10</v>
      </c>
      <c r="J143" s="25"/>
      <c r="K143" s="27">
        <f t="shared" si="112"/>
        <v>10</v>
      </c>
      <c r="L143" s="28">
        <f t="shared" si="107"/>
        <v>30</v>
      </c>
    </row>
    <row r="144" spans="1:12">
      <c r="A144" s="25">
        <v>9</v>
      </c>
      <c r="B144" s="26" t="s">
        <v>69</v>
      </c>
      <c r="C144" s="25"/>
      <c r="D144" s="25"/>
      <c r="E144" s="27"/>
      <c r="F144" s="25"/>
      <c r="G144" s="27"/>
      <c r="H144" s="25"/>
      <c r="I144" s="27"/>
      <c r="J144" s="25"/>
      <c r="K144" s="27"/>
      <c r="L144" s="28"/>
    </row>
    <row r="145" spans="1:12">
      <c r="A145" s="25" t="s">
        <v>90</v>
      </c>
      <c r="B145" s="29" t="s">
        <v>54</v>
      </c>
      <c r="C145" s="25"/>
      <c r="D145" s="25"/>
      <c r="E145" s="27"/>
      <c r="F145" s="25"/>
      <c r="G145" s="27"/>
      <c r="H145" s="25"/>
      <c r="I145" s="27"/>
      <c r="J145" s="25"/>
      <c r="K145" s="27"/>
      <c r="L145" s="28"/>
    </row>
    <row r="146" spans="1:12">
      <c r="A146" s="25"/>
      <c r="B146" s="26" t="s">
        <v>49</v>
      </c>
      <c r="C146" s="25">
        <v>1</v>
      </c>
      <c r="D146" s="25">
        <v>1</v>
      </c>
      <c r="E146" s="27">
        <f>E141*0.75</f>
        <v>37.5</v>
      </c>
      <c r="F146" s="25">
        <v>1</v>
      </c>
      <c r="G146" s="27">
        <f>G141*0.75</f>
        <v>22.5</v>
      </c>
      <c r="H146" s="25">
        <v>1</v>
      </c>
      <c r="I146" s="27">
        <f>I141*0.75</f>
        <v>15</v>
      </c>
      <c r="J146" s="25"/>
      <c r="K146" s="27">
        <f>K141*0.75</f>
        <v>15</v>
      </c>
      <c r="L146" s="28">
        <f t="shared" ref="L146:L148" si="113">(D146*E146)+(F146*G146)+(H146*I146)+(J146*K146)</f>
        <v>75</v>
      </c>
    </row>
    <row r="147" spans="1:12">
      <c r="A147" s="25"/>
      <c r="B147" s="26" t="s">
        <v>50</v>
      </c>
      <c r="C147" s="25"/>
      <c r="D147" s="25"/>
      <c r="E147" s="27">
        <f t="shared" ref="E147:E148" si="114">E142*0.75</f>
        <v>30</v>
      </c>
      <c r="F147" s="25"/>
      <c r="G147" s="27">
        <f t="shared" ref="G147:G148" si="115">G142*0.75</f>
        <v>15</v>
      </c>
      <c r="H147" s="25"/>
      <c r="I147" s="27">
        <f t="shared" ref="I147:I148" si="116">I142*0.75</f>
        <v>11.25</v>
      </c>
      <c r="J147" s="25"/>
      <c r="K147" s="27">
        <f t="shared" ref="K147:K148" si="117">K142*0.75</f>
        <v>11.25</v>
      </c>
      <c r="L147" s="28">
        <f t="shared" si="113"/>
        <v>0</v>
      </c>
    </row>
    <row r="148" spans="1:12">
      <c r="A148" s="25"/>
      <c r="B148" s="26" t="s">
        <v>51</v>
      </c>
      <c r="C148" s="25"/>
      <c r="D148" s="25"/>
      <c r="E148" s="27">
        <f t="shared" si="114"/>
        <v>22.5</v>
      </c>
      <c r="F148" s="25"/>
      <c r="G148" s="27">
        <f t="shared" si="115"/>
        <v>11.25</v>
      </c>
      <c r="H148" s="25"/>
      <c r="I148" s="27">
        <f t="shared" si="116"/>
        <v>7.5</v>
      </c>
      <c r="J148" s="25"/>
      <c r="K148" s="27">
        <f t="shared" si="117"/>
        <v>7.5</v>
      </c>
      <c r="L148" s="28">
        <f t="shared" si="113"/>
        <v>0</v>
      </c>
    </row>
    <row r="149" spans="1:12">
      <c r="A149" s="25" t="s">
        <v>91</v>
      </c>
      <c r="B149" s="29" t="s">
        <v>56</v>
      </c>
      <c r="C149" s="25"/>
      <c r="D149" s="25"/>
      <c r="E149" s="27"/>
      <c r="F149" s="25"/>
      <c r="G149" s="27"/>
      <c r="H149" s="25"/>
      <c r="I149" s="27"/>
      <c r="J149" s="25"/>
      <c r="K149" s="27"/>
      <c r="L149" s="28"/>
    </row>
    <row r="150" spans="1:12">
      <c r="A150" s="25"/>
      <c r="B150" s="26" t="s">
        <v>49</v>
      </c>
      <c r="C150" s="25">
        <v>1</v>
      </c>
      <c r="D150" s="25">
        <v>1</v>
      </c>
      <c r="E150" s="27">
        <f>E141*0.4</f>
        <v>20</v>
      </c>
      <c r="F150" s="25">
        <v>1</v>
      </c>
      <c r="G150" s="27">
        <f>G141*0.4</f>
        <v>12</v>
      </c>
      <c r="H150" s="25">
        <v>1</v>
      </c>
      <c r="I150" s="27">
        <f>I141*0.4</f>
        <v>8</v>
      </c>
      <c r="J150" s="25"/>
      <c r="K150" s="27">
        <f>K141*0.4</f>
        <v>8</v>
      </c>
      <c r="L150" s="28">
        <f t="shared" ref="L150:L152" si="118">(D150*E150)+(F150*G150)+(H150*I150)+(J150*K150)</f>
        <v>40</v>
      </c>
    </row>
    <row r="151" spans="1:12">
      <c r="A151" s="25"/>
      <c r="B151" s="26" t="s">
        <v>50</v>
      </c>
      <c r="C151" s="25">
        <v>1</v>
      </c>
      <c r="D151" s="25">
        <v>1</v>
      </c>
      <c r="E151" s="27">
        <f t="shared" ref="E151:E152" si="119">E142*0.4</f>
        <v>16</v>
      </c>
      <c r="F151" s="25">
        <v>1</v>
      </c>
      <c r="G151" s="27">
        <f t="shared" ref="G151:G152" si="120">G142*0.4</f>
        <v>8</v>
      </c>
      <c r="H151" s="25">
        <v>1</v>
      </c>
      <c r="I151" s="27">
        <f t="shared" ref="I151:I152" si="121">I142*0.4</f>
        <v>6</v>
      </c>
      <c r="J151" s="25"/>
      <c r="K151" s="27">
        <f t="shared" ref="K151:K152" si="122">K142*0.4</f>
        <v>6</v>
      </c>
      <c r="L151" s="28">
        <f t="shared" si="118"/>
        <v>30</v>
      </c>
    </row>
    <row r="152" spans="1:12">
      <c r="A152" s="25"/>
      <c r="B152" s="26" t="s">
        <v>51</v>
      </c>
      <c r="C152" s="25">
        <v>1</v>
      </c>
      <c r="D152" s="25">
        <v>1</v>
      </c>
      <c r="E152" s="27">
        <f t="shared" si="119"/>
        <v>12</v>
      </c>
      <c r="F152" s="25"/>
      <c r="G152" s="27">
        <f t="shared" si="120"/>
        <v>6</v>
      </c>
      <c r="H152" s="25"/>
      <c r="I152" s="27">
        <f t="shared" si="121"/>
        <v>4</v>
      </c>
      <c r="J152" s="25"/>
      <c r="K152" s="27">
        <f t="shared" si="122"/>
        <v>4</v>
      </c>
      <c r="L152" s="28">
        <f t="shared" si="118"/>
        <v>12</v>
      </c>
    </row>
    <row r="153" spans="1:12">
      <c r="A153" s="25" t="s">
        <v>92</v>
      </c>
      <c r="B153" s="29" t="s">
        <v>58</v>
      </c>
      <c r="C153" s="25"/>
      <c r="D153" s="25"/>
      <c r="E153" s="27"/>
      <c r="F153" s="25"/>
      <c r="G153" s="27"/>
      <c r="H153" s="25"/>
      <c r="I153" s="27"/>
      <c r="J153" s="25"/>
      <c r="K153" s="27"/>
      <c r="L153" s="28"/>
    </row>
    <row r="154" spans="1:12">
      <c r="A154" s="25"/>
      <c r="B154" s="26" t="s">
        <v>49</v>
      </c>
      <c r="C154" s="25">
        <v>1</v>
      </c>
      <c r="D154" s="25">
        <v>1</v>
      </c>
      <c r="E154" s="27">
        <f>E141*0.3</f>
        <v>15</v>
      </c>
      <c r="F154" s="25">
        <v>1</v>
      </c>
      <c r="G154" s="27">
        <f>G141*0.3</f>
        <v>9</v>
      </c>
      <c r="H154" s="25">
        <v>1</v>
      </c>
      <c r="I154" s="27">
        <f>I141*0.3</f>
        <v>6</v>
      </c>
      <c r="J154" s="25"/>
      <c r="K154" s="27">
        <f>K141*0.3</f>
        <v>6</v>
      </c>
      <c r="L154" s="28">
        <f t="shared" ref="L154:L156" si="123">(D154*E154)+(F154*G154)+(H154*I154)+(J154*K154)</f>
        <v>30</v>
      </c>
    </row>
    <row r="155" spans="1:12">
      <c r="A155" s="25"/>
      <c r="B155" s="26" t="s">
        <v>50</v>
      </c>
      <c r="C155" s="25"/>
      <c r="D155" s="25"/>
      <c r="E155" s="27">
        <f t="shared" ref="E155:E156" si="124">E142*0.3</f>
        <v>12</v>
      </c>
      <c r="F155" s="25"/>
      <c r="G155" s="27">
        <f t="shared" ref="G155:G156" si="125">G142*0.3</f>
        <v>6</v>
      </c>
      <c r="H155" s="25"/>
      <c r="I155" s="27">
        <f t="shared" ref="I155:I156" si="126">I142*0.3</f>
        <v>4.5</v>
      </c>
      <c r="J155" s="25"/>
      <c r="K155" s="27">
        <f t="shared" ref="K155:K156" si="127">K142*0.3</f>
        <v>4.5</v>
      </c>
      <c r="L155" s="28">
        <f t="shared" si="123"/>
        <v>0</v>
      </c>
    </row>
    <row r="156" spans="1:12">
      <c r="A156" s="25"/>
      <c r="B156" s="26" t="s">
        <v>51</v>
      </c>
      <c r="C156" s="25"/>
      <c r="D156" s="25"/>
      <c r="E156" s="27">
        <f t="shared" si="124"/>
        <v>9</v>
      </c>
      <c r="F156" s="25"/>
      <c r="G156" s="27">
        <f t="shared" si="125"/>
        <v>4.5</v>
      </c>
      <c r="H156" s="25"/>
      <c r="I156" s="27">
        <f t="shared" si="126"/>
        <v>3</v>
      </c>
      <c r="J156" s="25"/>
      <c r="K156" s="27">
        <f t="shared" si="127"/>
        <v>3</v>
      </c>
      <c r="L156" s="28">
        <f t="shared" si="123"/>
        <v>0</v>
      </c>
    </row>
    <row r="157" spans="1:12">
      <c r="A157" s="25" t="s">
        <v>93</v>
      </c>
      <c r="B157" s="29" t="s">
        <v>60</v>
      </c>
      <c r="C157" s="25"/>
      <c r="D157" s="25"/>
      <c r="E157" s="27"/>
      <c r="F157" s="25"/>
      <c r="G157" s="27"/>
      <c r="H157" s="25"/>
      <c r="I157" s="27"/>
      <c r="J157" s="25"/>
      <c r="K157" s="27"/>
      <c r="L157" s="28"/>
    </row>
    <row r="158" spans="1:12">
      <c r="A158" s="25"/>
      <c r="B158" s="26" t="s">
        <v>49</v>
      </c>
      <c r="C158" s="25"/>
      <c r="D158" s="25"/>
      <c r="E158" s="27">
        <f>E141*0.2</f>
        <v>10</v>
      </c>
      <c r="F158" s="25"/>
      <c r="G158" s="27">
        <f>G141*0.2</f>
        <v>6</v>
      </c>
      <c r="H158" s="25"/>
      <c r="I158" s="27">
        <f>I141*0.2</f>
        <v>4</v>
      </c>
      <c r="J158" s="25"/>
      <c r="K158" s="27">
        <f>K141*0.2</f>
        <v>4</v>
      </c>
      <c r="L158" s="28">
        <f t="shared" ref="L158:L166" si="128">(D158*E158)+(F158*G158)+(H158*I158)+(J158*K158)</f>
        <v>0</v>
      </c>
    </row>
    <row r="159" spans="1:12">
      <c r="A159" s="25"/>
      <c r="B159" s="26" t="s">
        <v>50</v>
      </c>
      <c r="C159" s="25">
        <v>1</v>
      </c>
      <c r="D159" s="25">
        <v>1</v>
      </c>
      <c r="E159" s="27">
        <f t="shared" ref="E159:E160" si="129">E142*0.2</f>
        <v>8</v>
      </c>
      <c r="F159" s="25">
        <v>1</v>
      </c>
      <c r="G159" s="27">
        <f t="shared" ref="G159:G160" si="130">G142*0.2</f>
        <v>4</v>
      </c>
      <c r="H159" s="25">
        <v>1</v>
      </c>
      <c r="I159" s="27">
        <f t="shared" ref="I159:I160" si="131">I142*0.2</f>
        <v>3</v>
      </c>
      <c r="J159" s="25"/>
      <c r="K159" s="27">
        <f t="shared" ref="K159:K160" si="132">K142*0.2</f>
        <v>3</v>
      </c>
      <c r="L159" s="28">
        <f t="shared" si="128"/>
        <v>15</v>
      </c>
    </row>
    <row r="160" spans="1:12">
      <c r="A160" s="25"/>
      <c r="B160" s="26" t="s">
        <v>51</v>
      </c>
      <c r="C160" s="25">
        <v>1</v>
      </c>
      <c r="D160" s="25">
        <v>1</v>
      </c>
      <c r="E160" s="27">
        <f t="shared" si="129"/>
        <v>6</v>
      </c>
      <c r="F160" s="25"/>
      <c r="G160" s="27">
        <f t="shared" si="130"/>
        <v>3</v>
      </c>
      <c r="H160" s="25"/>
      <c r="I160" s="27">
        <f t="shared" si="131"/>
        <v>2</v>
      </c>
      <c r="J160" s="25"/>
      <c r="K160" s="27">
        <f t="shared" si="132"/>
        <v>2</v>
      </c>
      <c r="L160" s="28">
        <f t="shared" si="128"/>
        <v>6</v>
      </c>
    </row>
    <row r="161" spans="1:12">
      <c r="A161" s="25">
        <v>10</v>
      </c>
      <c r="B161" s="26" t="s">
        <v>74</v>
      </c>
      <c r="C161" s="25">
        <v>2</v>
      </c>
      <c r="D161" s="25">
        <v>1</v>
      </c>
      <c r="E161" s="27">
        <v>100</v>
      </c>
      <c r="F161" s="25">
        <v>1</v>
      </c>
      <c r="G161" s="27">
        <v>60</v>
      </c>
      <c r="H161" s="25">
        <v>1</v>
      </c>
      <c r="I161" s="27">
        <v>40</v>
      </c>
      <c r="J161" s="25"/>
      <c r="K161" s="27">
        <f>I161</f>
        <v>40</v>
      </c>
      <c r="L161" s="28">
        <f t="shared" si="128"/>
        <v>200</v>
      </c>
    </row>
    <row r="162" spans="1:12">
      <c r="A162" s="25">
        <v>11</v>
      </c>
      <c r="B162" s="26" t="s">
        <v>75</v>
      </c>
      <c r="C162" s="25">
        <v>2</v>
      </c>
      <c r="D162" s="25">
        <v>2</v>
      </c>
      <c r="E162" s="27">
        <v>40</v>
      </c>
      <c r="F162" s="25">
        <v>1</v>
      </c>
      <c r="G162" s="27">
        <v>20</v>
      </c>
      <c r="H162" s="25">
        <v>1</v>
      </c>
      <c r="I162" s="27">
        <v>15</v>
      </c>
      <c r="J162" s="25"/>
      <c r="K162" s="27">
        <f t="shared" ref="K162" si="133">I162</f>
        <v>15</v>
      </c>
      <c r="L162" s="28">
        <f t="shared" si="128"/>
        <v>115</v>
      </c>
    </row>
    <row r="163" spans="1:12">
      <c r="A163" s="25">
        <v>12</v>
      </c>
      <c r="B163" s="26" t="s">
        <v>76</v>
      </c>
      <c r="C163" s="25"/>
      <c r="D163" s="25"/>
      <c r="E163" s="305"/>
      <c r="F163" s="296"/>
      <c r="G163" s="305"/>
      <c r="H163" s="296"/>
      <c r="I163" s="305"/>
      <c r="J163" s="296"/>
      <c r="K163" s="305"/>
      <c r="L163" s="28">
        <f t="shared" si="128"/>
        <v>0</v>
      </c>
    </row>
    <row r="164" spans="1:12">
      <c r="A164" s="25"/>
      <c r="B164" s="26" t="s">
        <v>49</v>
      </c>
      <c r="C164" s="25">
        <v>1</v>
      </c>
      <c r="D164" s="303">
        <v>1</v>
      </c>
      <c r="E164" s="308">
        <v>20</v>
      </c>
      <c r="F164" s="25">
        <v>1</v>
      </c>
      <c r="G164" s="308">
        <v>15</v>
      </c>
      <c r="H164" s="25">
        <v>1</v>
      </c>
      <c r="I164" s="308">
        <v>10</v>
      </c>
      <c r="J164" s="27"/>
      <c r="K164" s="308">
        <v>10</v>
      </c>
      <c r="L164" s="304">
        <f t="shared" si="128"/>
        <v>45</v>
      </c>
    </row>
    <row r="165" spans="1:12">
      <c r="A165" s="25"/>
      <c r="B165" s="26" t="s">
        <v>50</v>
      </c>
      <c r="C165" s="25">
        <v>1</v>
      </c>
      <c r="D165" s="303">
        <v>1</v>
      </c>
      <c r="E165" s="308">
        <v>17</v>
      </c>
      <c r="F165" s="25">
        <v>1</v>
      </c>
      <c r="G165" s="308">
        <v>12.75</v>
      </c>
      <c r="H165" s="25">
        <v>1</v>
      </c>
      <c r="I165" s="308">
        <v>8.5</v>
      </c>
      <c r="J165" s="27"/>
      <c r="K165" s="308">
        <v>8.5</v>
      </c>
      <c r="L165" s="304">
        <f t="shared" si="128"/>
        <v>38.25</v>
      </c>
    </row>
    <row r="166" spans="1:12">
      <c r="A166" s="25"/>
      <c r="B166" s="26" t="s">
        <v>51</v>
      </c>
      <c r="C166" s="25">
        <v>1</v>
      </c>
      <c r="D166" s="303">
        <v>1</v>
      </c>
      <c r="E166" s="308">
        <v>14</v>
      </c>
      <c r="F166" s="25">
        <v>1</v>
      </c>
      <c r="G166" s="308">
        <v>10.5</v>
      </c>
      <c r="H166" s="25">
        <v>1</v>
      </c>
      <c r="I166" s="308">
        <v>7</v>
      </c>
      <c r="J166" s="27"/>
      <c r="K166" s="308">
        <v>7</v>
      </c>
      <c r="L166" s="304">
        <f t="shared" si="128"/>
        <v>31.5</v>
      </c>
    </row>
    <row r="167" spans="1:12">
      <c r="A167" s="25"/>
      <c r="B167" s="30" t="s">
        <v>1</v>
      </c>
      <c r="C167" s="31">
        <f>SUM(C92:C166)</f>
        <v>70</v>
      </c>
      <c r="D167" s="31">
        <f>SUM(D92:D166)</f>
        <v>58</v>
      </c>
      <c r="E167" s="297"/>
      <c r="F167" s="306">
        <f>SUM(F92:F166)</f>
        <v>55</v>
      </c>
      <c r="G167" s="297"/>
      <c r="H167" s="306">
        <f>SUM(H92:H166)</f>
        <v>63</v>
      </c>
      <c r="I167" s="297"/>
      <c r="J167" s="306">
        <f>SUM(J92:J163)</f>
        <v>0</v>
      </c>
      <c r="K167" s="307"/>
      <c r="L167" s="32">
        <f>SUM(L92:L166)</f>
        <v>6107.25</v>
      </c>
    </row>
    <row r="168" spans="1:12">
      <c r="A168" s="419" t="s">
        <v>77</v>
      </c>
      <c r="B168" s="420"/>
      <c r="C168" s="420"/>
      <c r="D168" s="420"/>
      <c r="E168" s="421"/>
      <c r="F168" s="420"/>
      <c r="G168" s="421"/>
      <c r="H168" s="420"/>
      <c r="I168" s="421"/>
      <c r="J168" s="420"/>
      <c r="K168" s="421"/>
      <c r="L168" s="422"/>
    </row>
    <row r="169" spans="1:12">
      <c r="A169" s="25">
        <v>1</v>
      </c>
      <c r="B169" s="29" t="s">
        <v>125</v>
      </c>
      <c r="C169" s="25"/>
      <c r="D169" s="25"/>
      <c r="E169" s="27"/>
      <c r="F169" s="25"/>
      <c r="G169" s="27"/>
      <c r="H169" s="25"/>
      <c r="I169" s="27"/>
      <c r="J169" s="25"/>
      <c r="K169" s="27"/>
      <c r="L169" s="28">
        <f>L167*0.75</f>
        <v>4580.4375</v>
      </c>
    </row>
    <row r="170" spans="1:12">
      <c r="A170" s="435" t="s">
        <v>78</v>
      </c>
      <c r="B170" s="436"/>
      <c r="C170" s="62">
        <f>SUM(C169:C169)</f>
        <v>0</v>
      </c>
      <c r="D170" s="62">
        <f>SUM(D169:D169)</f>
        <v>0</v>
      </c>
      <c r="E170" s="63"/>
      <c r="F170" s="62">
        <f>SUM(F169:F169)</f>
        <v>0</v>
      </c>
      <c r="G170" s="63"/>
      <c r="H170" s="62">
        <f>SUM(H169:H169)</f>
        <v>0</v>
      </c>
      <c r="I170" s="63"/>
      <c r="J170" s="62">
        <f>SUM(J169:J169)</f>
        <v>0</v>
      </c>
      <c r="K170" s="63"/>
      <c r="L170" s="64">
        <f>SUM(L92:L163)+SUM(L169:L169)</f>
        <v>10572.9375</v>
      </c>
    </row>
    <row r="171" spans="1:12" ht="25.5" customHeight="1">
      <c r="A171" s="437" t="s">
        <v>124</v>
      </c>
      <c r="B171" s="437"/>
      <c r="C171" s="437"/>
      <c r="D171" s="437"/>
      <c r="E171" s="437"/>
      <c r="F171" s="437"/>
      <c r="G171" s="437"/>
      <c r="H171" s="437"/>
      <c r="I171" s="437"/>
      <c r="J171" s="437"/>
      <c r="K171" s="437"/>
      <c r="L171" s="437"/>
    </row>
    <row r="172" spans="1:12" ht="10.5" customHeight="1"/>
    <row r="173" spans="1:12" s="22" customFormat="1" ht="18.75" customHeight="1">
      <c r="A173" s="428" t="s">
        <v>37</v>
      </c>
      <c r="B173" s="428" t="s">
        <v>38</v>
      </c>
      <c r="C173" s="430" t="s">
        <v>39</v>
      </c>
      <c r="D173" s="432" t="s">
        <v>108</v>
      </c>
      <c r="E173" s="433"/>
      <c r="F173" s="433"/>
      <c r="G173" s="433"/>
      <c r="H173" s="433"/>
      <c r="I173" s="433"/>
      <c r="J173" s="433"/>
      <c r="K173" s="433"/>
      <c r="L173" s="430" t="s">
        <v>40</v>
      </c>
    </row>
    <row r="174" spans="1:12" s="22" customFormat="1" ht="63">
      <c r="A174" s="429"/>
      <c r="B174" s="429"/>
      <c r="C174" s="434"/>
      <c r="D174" s="24" t="s">
        <v>41</v>
      </c>
      <c r="E174" s="24" t="s">
        <v>42</v>
      </c>
      <c r="F174" s="24" t="s">
        <v>43</v>
      </c>
      <c r="G174" s="24" t="s">
        <v>42</v>
      </c>
      <c r="H174" s="24" t="s">
        <v>44</v>
      </c>
      <c r="I174" s="24" t="s">
        <v>42</v>
      </c>
      <c r="J174" s="24" t="s">
        <v>45</v>
      </c>
      <c r="K174" s="24" t="s">
        <v>42</v>
      </c>
      <c r="L174" s="434"/>
    </row>
    <row r="175" spans="1:12">
      <c r="A175" s="419" t="s">
        <v>46</v>
      </c>
      <c r="B175" s="420"/>
      <c r="C175" s="420"/>
      <c r="D175" s="420"/>
      <c r="E175" s="421"/>
      <c r="F175" s="420"/>
      <c r="G175" s="421"/>
      <c r="H175" s="420"/>
      <c r="I175" s="421"/>
      <c r="J175" s="420"/>
      <c r="K175" s="421"/>
      <c r="L175" s="422"/>
    </row>
    <row r="176" spans="1:12">
      <c r="A176" s="25">
        <v>1</v>
      </c>
      <c r="B176" s="29" t="s">
        <v>89</v>
      </c>
      <c r="C176" s="25">
        <v>1</v>
      </c>
      <c r="D176" s="25"/>
      <c r="E176" s="27">
        <v>450</v>
      </c>
      <c r="F176" s="25"/>
      <c r="G176" s="27">
        <v>300</v>
      </c>
      <c r="H176" s="25">
        <v>1</v>
      </c>
      <c r="I176" s="27">
        <v>200</v>
      </c>
      <c r="J176" s="25"/>
      <c r="K176" s="27">
        <f>I176</f>
        <v>200</v>
      </c>
      <c r="L176" s="28">
        <f>(D176*E176)+(F176*G176)+(H176*I176)+(J176*K176)</f>
        <v>200</v>
      </c>
    </row>
    <row r="177" spans="1:12">
      <c r="A177" s="25">
        <v>2</v>
      </c>
      <c r="B177" s="29" t="s">
        <v>48</v>
      </c>
      <c r="C177" s="25"/>
      <c r="D177" s="25"/>
      <c r="E177" s="27"/>
      <c r="F177" s="25"/>
      <c r="G177" s="27"/>
      <c r="H177" s="25"/>
      <c r="I177" s="27"/>
      <c r="J177" s="25"/>
      <c r="K177" s="27"/>
      <c r="L177" s="28">
        <f t="shared" ref="L177:L205" si="134">(D177*E177)+(F177*G177)+(H177*I177)+(J177*K177)</f>
        <v>0</v>
      </c>
    </row>
    <row r="178" spans="1:12">
      <c r="A178" s="25"/>
      <c r="B178" s="26" t="s">
        <v>49</v>
      </c>
      <c r="C178" s="25">
        <v>1</v>
      </c>
      <c r="D178" s="25"/>
      <c r="E178" s="27">
        <v>250</v>
      </c>
      <c r="F178" s="25">
        <v>1</v>
      </c>
      <c r="G178" s="27">
        <v>150</v>
      </c>
      <c r="H178" s="25">
        <v>1</v>
      </c>
      <c r="I178" s="27">
        <v>100</v>
      </c>
      <c r="J178" s="25"/>
      <c r="K178" s="27">
        <f t="shared" ref="K178:K180" si="135">I178</f>
        <v>100</v>
      </c>
      <c r="L178" s="28">
        <f t="shared" si="134"/>
        <v>250</v>
      </c>
    </row>
    <row r="179" spans="1:12">
      <c r="A179" s="25"/>
      <c r="B179" s="26" t="s">
        <v>50</v>
      </c>
      <c r="C179" s="25">
        <v>2</v>
      </c>
      <c r="D179" s="25">
        <v>2</v>
      </c>
      <c r="E179" s="27">
        <v>100</v>
      </c>
      <c r="F179" s="25">
        <v>1</v>
      </c>
      <c r="G179" s="27">
        <v>60</v>
      </c>
      <c r="H179" s="25">
        <v>1</v>
      </c>
      <c r="I179" s="27">
        <v>40</v>
      </c>
      <c r="J179" s="25"/>
      <c r="K179" s="27">
        <f t="shared" si="135"/>
        <v>40</v>
      </c>
      <c r="L179" s="28">
        <f t="shared" si="134"/>
        <v>300</v>
      </c>
    </row>
    <row r="180" spans="1:12">
      <c r="A180" s="25"/>
      <c r="B180" s="26" t="s">
        <v>51</v>
      </c>
      <c r="C180" s="25">
        <v>2</v>
      </c>
      <c r="D180" s="25">
        <v>2</v>
      </c>
      <c r="E180" s="27">
        <v>60</v>
      </c>
      <c r="F180" s="25">
        <v>1</v>
      </c>
      <c r="G180" s="27">
        <v>40</v>
      </c>
      <c r="H180" s="25">
        <v>1</v>
      </c>
      <c r="I180" s="27">
        <v>30</v>
      </c>
      <c r="J180" s="25"/>
      <c r="K180" s="27">
        <f t="shared" si="135"/>
        <v>30</v>
      </c>
      <c r="L180" s="28">
        <f t="shared" si="134"/>
        <v>190</v>
      </c>
    </row>
    <row r="181" spans="1:12">
      <c r="A181" s="25">
        <v>3</v>
      </c>
      <c r="B181" s="29" t="s">
        <v>52</v>
      </c>
      <c r="C181" s="25"/>
      <c r="D181" s="25"/>
      <c r="E181" s="27"/>
      <c r="F181" s="25"/>
      <c r="G181" s="27"/>
      <c r="H181" s="25"/>
      <c r="I181" s="27"/>
      <c r="J181" s="25"/>
      <c r="K181" s="27"/>
      <c r="L181" s="28">
        <f t="shared" si="134"/>
        <v>0</v>
      </c>
    </row>
    <row r="182" spans="1:12">
      <c r="A182" s="25" t="s">
        <v>53</v>
      </c>
      <c r="B182" s="29" t="s">
        <v>54</v>
      </c>
      <c r="C182" s="25"/>
      <c r="D182" s="25"/>
      <c r="E182" s="27"/>
      <c r="F182" s="25"/>
      <c r="G182" s="27"/>
      <c r="H182" s="25"/>
      <c r="I182" s="27"/>
      <c r="J182" s="25"/>
      <c r="K182" s="27"/>
      <c r="L182" s="28"/>
    </row>
    <row r="183" spans="1:12">
      <c r="A183" s="25"/>
      <c r="B183" s="26" t="s">
        <v>49</v>
      </c>
      <c r="C183" s="25">
        <v>1</v>
      </c>
      <c r="D183" s="25"/>
      <c r="E183" s="27">
        <f>E178*0.75</f>
        <v>187.5</v>
      </c>
      <c r="F183" s="25">
        <v>1</v>
      </c>
      <c r="G183" s="27">
        <f>G178*0.75</f>
        <v>112.5</v>
      </c>
      <c r="H183" s="25">
        <v>1</v>
      </c>
      <c r="I183" s="27">
        <f>I178*0.75</f>
        <v>75</v>
      </c>
      <c r="J183" s="25"/>
      <c r="K183" s="27">
        <f>K178*0.75</f>
        <v>75</v>
      </c>
      <c r="L183" s="28">
        <f t="shared" si="134"/>
        <v>187.5</v>
      </c>
    </row>
    <row r="184" spans="1:12">
      <c r="A184" s="25"/>
      <c r="B184" s="26" t="s">
        <v>50</v>
      </c>
      <c r="C184" s="25">
        <v>2</v>
      </c>
      <c r="D184" s="25">
        <v>1</v>
      </c>
      <c r="E184" s="27">
        <f t="shared" ref="E184:E185" si="136">E179*0.75</f>
        <v>75</v>
      </c>
      <c r="F184" s="25">
        <v>1</v>
      </c>
      <c r="G184" s="27">
        <f t="shared" ref="G184:G185" si="137">G179*0.75</f>
        <v>45</v>
      </c>
      <c r="H184" s="25">
        <v>1</v>
      </c>
      <c r="I184" s="27">
        <f t="shared" ref="I184:I185" si="138">I179*0.75</f>
        <v>30</v>
      </c>
      <c r="J184" s="25"/>
      <c r="K184" s="27">
        <f t="shared" ref="K184:K185" si="139">K179*0.75</f>
        <v>30</v>
      </c>
      <c r="L184" s="28">
        <f t="shared" si="134"/>
        <v>150</v>
      </c>
    </row>
    <row r="185" spans="1:12">
      <c r="A185" s="25"/>
      <c r="B185" s="26" t="s">
        <v>51</v>
      </c>
      <c r="C185" s="25">
        <v>3</v>
      </c>
      <c r="D185" s="25">
        <v>2</v>
      </c>
      <c r="E185" s="27">
        <f t="shared" si="136"/>
        <v>45</v>
      </c>
      <c r="F185" s="25">
        <v>2</v>
      </c>
      <c r="G185" s="27">
        <f t="shared" si="137"/>
        <v>30</v>
      </c>
      <c r="H185" s="25">
        <v>2</v>
      </c>
      <c r="I185" s="27">
        <f t="shared" si="138"/>
        <v>22.5</v>
      </c>
      <c r="J185" s="25"/>
      <c r="K185" s="27">
        <f t="shared" si="139"/>
        <v>22.5</v>
      </c>
      <c r="L185" s="28">
        <f t="shared" si="134"/>
        <v>195</v>
      </c>
    </row>
    <row r="186" spans="1:12">
      <c r="A186" s="25" t="s">
        <v>55</v>
      </c>
      <c r="B186" s="29" t="s">
        <v>56</v>
      </c>
      <c r="C186" s="25"/>
      <c r="D186" s="25"/>
      <c r="E186" s="27"/>
      <c r="F186" s="25"/>
      <c r="G186" s="27"/>
      <c r="H186" s="25"/>
      <c r="I186" s="27"/>
      <c r="J186" s="25"/>
      <c r="K186" s="27"/>
      <c r="L186" s="28"/>
    </row>
    <row r="187" spans="1:12">
      <c r="A187" s="25"/>
      <c r="B187" s="26" t="s">
        <v>49</v>
      </c>
      <c r="C187" s="25">
        <v>1</v>
      </c>
      <c r="D187" s="25"/>
      <c r="E187" s="27">
        <f>E178*0.4</f>
        <v>100</v>
      </c>
      <c r="F187" s="25">
        <v>1</v>
      </c>
      <c r="G187" s="27">
        <f>G178*0.4</f>
        <v>60</v>
      </c>
      <c r="H187" s="25">
        <v>1</v>
      </c>
      <c r="I187" s="27">
        <f>I178*0.4</f>
        <v>40</v>
      </c>
      <c r="J187" s="25"/>
      <c r="K187" s="27">
        <f>K178*0.4</f>
        <v>40</v>
      </c>
      <c r="L187" s="28">
        <f t="shared" ref="L187:L189" si="140">(D187*E187)+(F187*G187)+(H187*I187)+(J187*K187)</f>
        <v>100</v>
      </c>
    </row>
    <row r="188" spans="1:12">
      <c r="A188" s="25"/>
      <c r="B188" s="26" t="s">
        <v>50</v>
      </c>
      <c r="C188" s="25">
        <v>1</v>
      </c>
      <c r="D188" s="25">
        <v>2</v>
      </c>
      <c r="E188" s="27">
        <f t="shared" ref="E188:E189" si="141">E179*0.4</f>
        <v>40</v>
      </c>
      <c r="F188" s="25">
        <v>1</v>
      </c>
      <c r="G188" s="27">
        <f t="shared" ref="G188:G189" si="142">G179*0.4</f>
        <v>24</v>
      </c>
      <c r="H188" s="25">
        <v>1</v>
      </c>
      <c r="I188" s="27">
        <f t="shared" ref="I188:I189" si="143">I179*0.4</f>
        <v>16</v>
      </c>
      <c r="J188" s="25"/>
      <c r="K188" s="27">
        <f t="shared" ref="K188:K189" si="144">K179*0.4</f>
        <v>16</v>
      </c>
      <c r="L188" s="28">
        <f t="shared" si="140"/>
        <v>120</v>
      </c>
    </row>
    <row r="189" spans="1:12">
      <c r="A189" s="25"/>
      <c r="B189" s="26" t="s">
        <v>51</v>
      </c>
      <c r="C189" s="25">
        <v>1</v>
      </c>
      <c r="D189" s="25">
        <v>1</v>
      </c>
      <c r="E189" s="27">
        <f t="shared" si="141"/>
        <v>24</v>
      </c>
      <c r="F189" s="25">
        <v>1</v>
      </c>
      <c r="G189" s="27">
        <f t="shared" si="142"/>
        <v>16</v>
      </c>
      <c r="H189" s="25">
        <v>1</v>
      </c>
      <c r="I189" s="27">
        <f t="shared" si="143"/>
        <v>12</v>
      </c>
      <c r="J189" s="25"/>
      <c r="K189" s="27">
        <f t="shared" si="144"/>
        <v>12</v>
      </c>
      <c r="L189" s="28">
        <f t="shared" si="140"/>
        <v>52</v>
      </c>
    </row>
    <row r="190" spans="1:12">
      <c r="A190" s="25" t="s">
        <v>57</v>
      </c>
      <c r="B190" s="29" t="s">
        <v>58</v>
      </c>
      <c r="C190" s="25"/>
      <c r="D190" s="25"/>
      <c r="E190" s="27"/>
      <c r="F190" s="25"/>
      <c r="G190" s="27"/>
      <c r="H190" s="25"/>
      <c r="I190" s="27"/>
      <c r="J190" s="25"/>
      <c r="K190" s="27"/>
      <c r="L190" s="28"/>
    </row>
    <row r="191" spans="1:12">
      <c r="A191" s="25"/>
      <c r="B191" s="26" t="s">
        <v>49</v>
      </c>
      <c r="C191" s="25">
        <v>1</v>
      </c>
      <c r="D191" s="25">
        <v>1</v>
      </c>
      <c r="E191" s="27">
        <f>E178*0.3</f>
        <v>75</v>
      </c>
      <c r="F191" s="25">
        <v>1</v>
      </c>
      <c r="G191" s="27">
        <f>G178*0.3</f>
        <v>45</v>
      </c>
      <c r="H191" s="25">
        <v>1</v>
      </c>
      <c r="I191" s="27">
        <f>I178*0.3</f>
        <v>30</v>
      </c>
      <c r="J191" s="25"/>
      <c r="K191" s="27">
        <f>K178*0.3</f>
        <v>30</v>
      </c>
      <c r="L191" s="28">
        <f t="shared" ref="L191:L193" si="145">(D191*E191)+(F191*G191)+(H191*I191)+(J191*K191)</f>
        <v>150</v>
      </c>
    </row>
    <row r="192" spans="1:12">
      <c r="A192" s="25"/>
      <c r="B192" s="26" t="s">
        <v>50</v>
      </c>
      <c r="C192" s="25">
        <v>1</v>
      </c>
      <c r="D192" s="25">
        <v>1</v>
      </c>
      <c r="E192" s="27">
        <f t="shared" ref="E192:E193" si="146">E179*0.3</f>
        <v>30</v>
      </c>
      <c r="F192" s="25">
        <v>1</v>
      </c>
      <c r="G192" s="27">
        <f t="shared" ref="G192:G193" si="147">G179*0.3</f>
        <v>18</v>
      </c>
      <c r="H192" s="25">
        <v>1</v>
      </c>
      <c r="I192" s="27">
        <f t="shared" ref="I192:I193" si="148">I179*0.3</f>
        <v>12</v>
      </c>
      <c r="J192" s="25"/>
      <c r="K192" s="27">
        <f t="shared" ref="K192:K193" si="149">K179*0.3</f>
        <v>12</v>
      </c>
      <c r="L192" s="28">
        <f t="shared" si="145"/>
        <v>60</v>
      </c>
    </row>
    <row r="193" spans="1:12">
      <c r="A193" s="25"/>
      <c r="B193" s="26" t="s">
        <v>51</v>
      </c>
      <c r="C193" s="25">
        <v>3</v>
      </c>
      <c r="D193" s="25">
        <v>2</v>
      </c>
      <c r="E193" s="27">
        <f t="shared" si="146"/>
        <v>18</v>
      </c>
      <c r="F193" s="25">
        <v>3</v>
      </c>
      <c r="G193" s="27">
        <f t="shared" si="147"/>
        <v>12</v>
      </c>
      <c r="H193" s="25">
        <v>5</v>
      </c>
      <c r="I193" s="27">
        <f t="shared" si="148"/>
        <v>9</v>
      </c>
      <c r="J193" s="25"/>
      <c r="K193" s="27">
        <f t="shared" si="149"/>
        <v>9</v>
      </c>
      <c r="L193" s="28">
        <f t="shared" si="145"/>
        <v>117</v>
      </c>
    </row>
    <row r="194" spans="1:12">
      <c r="A194" s="25" t="s">
        <v>59</v>
      </c>
      <c r="B194" s="29" t="s">
        <v>60</v>
      </c>
      <c r="C194" s="25"/>
      <c r="D194" s="25"/>
      <c r="E194" s="27"/>
      <c r="F194" s="25"/>
      <c r="G194" s="27"/>
      <c r="H194" s="25"/>
      <c r="I194" s="27"/>
      <c r="J194" s="25"/>
      <c r="K194" s="27"/>
      <c r="L194" s="28"/>
    </row>
    <row r="195" spans="1:12">
      <c r="A195" s="25"/>
      <c r="B195" s="26" t="s">
        <v>49</v>
      </c>
      <c r="C195" s="25">
        <v>1</v>
      </c>
      <c r="D195" s="25">
        <v>1</v>
      </c>
      <c r="E195" s="27">
        <f>E178*0.2</f>
        <v>50</v>
      </c>
      <c r="F195" s="25">
        <v>1</v>
      </c>
      <c r="G195" s="27">
        <f>G178*0.2</f>
        <v>30</v>
      </c>
      <c r="H195" s="25">
        <v>1</v>
      </c>
      <c r="I195" s="27">
        <f>I178*0.2</f>
        <v>20</v>
      </c>
      <c r="J195" s="25"/>
      <c r="K195" s="27">
        <f>K178*0.2</f>
        <v>20</v>
      </c>
      <c r="L195" s="28">
        <f t="shared" ref="L195:L197" si="150">(D195*E195)+(F195*G195)+(H195*I195)+(J195*K195)</f>
        <v>100</v>
      </c>
    </row>
    <row r="196" spans="1:12">
      <c r="A196" s="25"/>
      <c r="B196" s="26" t="s">
        <v>50</v>
      </c>
      <c r="C196" s="25">
        <v>1</v>
      </c>
      <c r="D196" s="25">
        <v>1</v>
      </c>
      <c r="E196" s="27">
        <f t="shared" ref="E196:E197" si="151">E179*0.2</f>
        <v>20</v>
      </c>
      <c r="F196" s="25">
        <v>1</v>
      </c>
      <c r="G196" s="27">
        <f t="shared" ref="G196:G197" si="152">G179*0.2</f>
        <v>12</v>
      </c>
      <c r="H196" s="25">
        <v>1</v>
      </c>
      <c r="I196" s="27">
        <f t="shared" ref="I196:I197" si="153">I179*0.2</f>
        <v>8</v>
      </c>
      <c r="J196" s="25"/>
      <c r="K196" s="27">
        <f t="shared" ref="K196:K197" si="154">K179*0.2</f>
        <v>8</v>
      </c>
      <c r="L196" s="28">
        <f t="shared" si="150"/>
        <v>40</v>
      </c>
    </row>
    <row r="197" spans="1:12">
      <c r="A197" s="25"/>
      <c r="B197" s="26" t="s">
        <v>51</v>
      </c>
      <c r="C197" s="25">
        <v>3</v>
      </c>
      <c r="D197" s="25">
        <v>5</v>
      </c>
      <c r="E197" s="27">
        <f t="shared" si="151"/>
        <v>12</v>
      </c>
      <c r="F197" s="25">
        <v>5</v>
      </c>
      <c r="G197" s="27">
        <f t="shared" si="152"/>
        <v>8</v>
      </c>
      <c r="H197" s="25">
        <v>10</v>
      </c>
      <c r="I197" s="27">
        <f t="shared" si="153"/>
        <v>6</v>
      </c>
      <c r="J197" s="25"/>
      <c r="K197" s="27">
        <f t="shared" si="154"/>
        <v>6</v>
      </c>
      <c r="L197" s="28">
        <f t="shared" si="150"/>
        <v>160</v>
      </c>
    </row>
    <row r="198" spans="1:12">
      <c r="A198" s="25">
        <v>4</v>
      </c>
      <c r="B198" s="29" t="s">
        <v>61</v>
      </c>
      <c r="C198" s="25"/>
      <c r="D198" s="25"/>
      <c r="E198" s="27"/>
      <c r="F198" s="25"/>
      <c r="G198" s="27"/>
      <c r="H198" s="25"/>
      <c r="I198" s="27"/>
      <c r="J198" s="25"/>
      <c r="K198" s="27"/>
      <c r="L198" s="28">
        <f t="shared" si="134"/>
        <v>0</v>
      </c>
    </row>
    <row r="199" spans="1:12">
      <c r="A199" s="25"/>
      <c r="B199" s="26" t="s">
        <v>49</v>
      </c>
      <c r="C199" s="25">
        <v>2</v>
      </c>
      <c r="D199" s="25">
        <v>1</v>
      </c>
      <c r="E199" s="27">
        <f>E178/2</f>
        <v>125</v>
      </c>
      <c r="F199" s="25">
        <v>1</v>
      </c>
      <c r="G199" s="27">
        <f>G178/2</f>
        <v>75</v>
      </c>
      <c r="H199" s="25">
        <v>1</v>
      </c>
      <c r="I199" s="27">
        <f>I178/2</f>
        <v>50</v>
      </c>
      <c r="J199" s="25"/>
      <c r="K199" s="27">
        <f>K178/2</f>
        <v>50</v>
      </c>
      <c r="L199" s="28">
        <f t="shared" si="134"/>
        <v>250</v>
      </c>
    </row>
    <row r="200" spans="1:12">
      <c r="A200" s="25"/>
      <c r="B200" s="26" t="s">
        <v>50</v>
      </c>
      <c r="C200" s="25">
        <v>4</v>
      </c>
      <c r="D200" s="25">
        <v>2</v>
      </c>
      <c r="E200" s="27">
        <f t="shared" ref="E200:E201" si="155">E179/2</f>
        <v>50</v>
      </c>
      <c r="F200" s="25">
        <v>3</v>
      </c>
      <c r="G200" s="27">
        <f t="shared" ref="G200:G201" si="156">G179/2</f>
        <v>30</v>
      </c>
      <c r="H200" s="25">
        <v>4</v>
      </c>
      <c r="I200" s="27">
        <f>I179/2</f>
        <v>20</v>
      </c>
      <c r="J200" s="25"/>
      <c r="K200" s="27">
        <f>K179/2</f>
        <v>20</v>
      </c>
      <c r="L200" s="28">
        <f t="shared" si="134"/>
        <v>270</v>
      </c>
    </row>
    <row r="201" spans="1:12">
      <c r="A201" s="25"/>
      <c r="B201" s="26" t="s">
        <v>51</v>
      </c>
      <c r="C201" s="25">
        <v>5</v>
      </c>
      <c r="D201" s="25">
        <v>6</v>
      </c>
      <c r="E201" s="27">
        <f t="shared" si="155"/>
        <v>30</v>
      </c>
      <c r="F201" s="25">
        <v>6</v>
      </c>
      <c r="G201" s="27">
        <f t="shared" si="156"/>
        <v>20</v>
      </c>
      <c r="H201" s="25">
        <v>6</v>
      </c>
      <c r="I201" s="27">
        <f>I180/2</f>
        <v>15</v>
      </c>
      <c r="J201" s="25"/>
      <c r="K201" s="27">
        <f>K180/2</f>
        <v>15</v>
      </c>
      <c r="L201" s="28">
        <f t="shared" si="134"/>
        <v>390</v>
      </c>
    </row>
    <row r="202" spans="1:12">
      <c r="A202" s="25">
        <v>5</v>
      </c>
      <c r="B202" s="26" t="s">
        <v>62</v>
      </c>
      <c r="C202" s="25"/>
      <c r="D202" s="25"/>
      <c r="E202" s="27"/>
      <c r="F202" s="25"/>
      <c r="G202" s="27"/>
      <c r="H202" s="25"/>
      <c r="I202" s="27"/>
      <c r="J202" s="25"/>
      <c r="K202" s="27"/>
      <c r="L202" s="28">
        <f t="shared" si="134"/>
        <v>0</v>
      </c>
    </row>
    <row r="203" spans="1:12">
      <c r="A203" s="25"/>
      <c r="B203" s="26" t="s">
        <v>49</v>
      </c>
      <c r="C203" s="25">
        <v>1</v>
      </c>
      <c r="D203" s="25">
        <v>1</v>
      </c>
      <c r="E203" s="27">
        <v>100</v>
      </c>
      <c r="F203" s="25">
        <v>1</v>
      </c>
      <c r="G203" s="27">
        <v>60</v>
      </c>
      <c r="H203" s="25">
        <v>1</v>
      </c>
      <c r="I203" s="27">
        <v>40</v>
      </c>
      <c r="J203" s="25"/>
      <c r="K203" s="27">
        <f>I203</f>
        <v>40</v>
      </c>
      <c r="L203" s="28">
        <f t="shared" si="134"/>
        <v>200</v>
      </c>
    </row>
    <row r="204" spans="1:12">
      <c r="A204" s="25"/>
      <c r="B204" s="26" t="s">
        <v>50</v>
      </c>
      <c r="C204" s="25">
        <v>1</v>
      </c>
      <c r="D204" s="25">
        <v>1</v>
      </c>
      <c r="E204" s="27">
        <v>60</v>
      </c>
      <c r="F204" s="25">
        <v>1</v>
      </c>
      <c r="G204" s="27">
        <v>40</v>
      </c>
      <c r="H204" s="25">
        <v>1</v>
      </c>
      <c r="I204" s="27">
        <v>30</v>
      </c>
      <c r="J204" s="25"/>
      <c r="K204" s="27">
        <f t="shared" ref="K204:K205" si="157">I204</f>
        <v>30</v>
      </c>
      <c r="L204" s="28">
        <f t="shared" si="134"/>
        <v>130</v>
      </c>
    </row>
    <row r="205" spans="1:12">
      <c r="A205" s="25"/>
      <c r="B205" s="26" t="s">
        <v>51</v>
      </c>
      <c r="C205" s="25">
        <v>1</v>
      </c>
      <c r="D205" s="25">
        <v>1</v>
      </c>
      <c r="E205" s="27">
        <v>40</v>
      </c>
      <c r="F205" s="25">
        <v>1</v>
      </c>
      <c r="G205" s="27">
        <v>30</v>
      </c>
      <c r="H205" s="25">
        <v>1</v>
      </c>
      <c r="I205" s="27">
        <v>20</v>
      </c>
      <c r="J205" s="25"/>
      <c r="K205" s="27">
        <f t="shared" si="157"/>
        <v>20</v>
      </c>
      <c r="L205" s="28">
        <f t="shared" si="134"/>
        <v>90</v>
      </c>
    </row>
    <row r="206" spans="1:12">
      <c r="A206" s="25">
        <v>6</v>
      </c>
      <c r="B206" s="26" t="s">
        <v>63</v>
      </c>
      <c r="C206" s="25"/>
      <c r="D206" s="25"/>
      <c r="E206" s="27"/>
      <c r="F206" s="25"/>
      <c r="G206" s="27"/>
      <c r="H206" s="25"/>
      <c r="I206" s="27"/>
      <c r="J206" s="25"/>
      <c r="K206" s="27"/>
      <c r="L206" s="28"/>
    </row>
    <row r="207" spans="1:12">
      <c r="A207" s="25" t="s">
        <v>64</v>
      </c>
      <c r="B207" s="29" t="s">
        <v>54</v>
      </c>
      <c r="C207" s="25"/>
      <c r="D207" s="25"/>
      <c r="E207" s="27"/>
      <c r="F207" s="25"/>
      <c r="G207" s="27"/>
      <c r="H207" s="25"/>
      <c r="I207" s="27"/>
      <c r="J207" s="25"/>
      <c r="K207" s="27"/>
      <c r="L207" s="28"/>
    </row>
    <row r="208" spans="1:12">
      <c r="A208" s="25"/>
      <c r="B208" s="26" t="s">
        <v>49</v>
      </c>
      <c r="C208" s="25">
        <v>1</v>
      </c>
      <c r="D208" s="25"/>
      <c r="E208" s="27">
        <f>E203*0.75</f>
        <v>75</v>
      </c>
      <c r="F208" s="25"/>
      <c r="G208" s="27">
        <f>G203*0.75</f>
        <v>45</v>
      </c>
      <c r="H208" s="25">
        <v>1</v>
      </c>
      <c r="I208" s="27">
        <f>I203*0.75</f>
        <v>30</v>
      </c>
      <c r="J208" s="25"/>
      <c r="K208" s="27">
        <f>K203*0.75</f>
        <v>30</v>
      </c>
      <c r="L208" s="28">
        <f t="shared" ref="L208:L210" si="158">(D208*E208)+(F208*G208)+(H208*I208)+(J208*K208)</f>
        <v>30</v>
      </c>
    </row>
    <row r="209" spans="1:12">
      <c r="A209" s="25"/>
      <c r="B209" s="26" t="s">
        <v>50</v>
      </c>
      <c r="C209" s="25">
        <v>1</v>
      </c>
      <c r="D209" s="25"/>
      <c r="E209" s="27">
        <f t="shared" ref="E209:E210" si="159">E204*0.75</f>
        <v>45</v>
      </c>
      <c r="F209" s="25">
        <v>1</v>
      </c>
      <c r="G209" s="27">
        <f t="shared" ref="G209:G210" si="160">G204*0.75</f>
        <v>30</v>
      </c>
      <c r="H209" s="25"/>
      <c r="I209" s="27">
        <f t="shared" ref="I209:I210" si="161">I204*0.75</f>
        <v>22.5</v>
      </c>
      <c r="J209" s="25"/>
      <c r="K209" s="27">
        <f t="shared" ref="K209:K210" si="162">K204*0.75</f>
        <v>22.5</v>
      </c>
      <c r="L209" s="28">
        <f t="shared" si="158"/>
        <v>30</v>
      </c>
    </row>
    <row r="210" spans="1:12">
      <c r="A210" s="25"/>
      <c r="B210" s="26" t="s">
        <v>51</v>
      </c>
      <c r="C210" s="25">
        <v>1</v>
      </c>
      <c r="D210" s="25">
        <v>1</v>
      </c>
      <c r="E210" s="27">
        <f t="shared" si="159"/>
        <v>30</v>
      </c>
      <c r="F210" s="25"/>
      <c r="G210" s="27">
        <f t="shared" si="160"/>
        <v>22.5</v>
      </c>
      <c r="H210" s="25"/>
      <c r="I210" s="27">
        <f t="shared" si="161"/>
        <v>15</v>
      </c>
      <c r="J210" s="25"/>
      <c r="K210" s="27">
        <f t="shared" si="162"/>
        <v>15</v>
      </c>
      <c r="L210" s="28">
        <f t="shared" si="158"/>
        <v>30</v>
      </c>
    </row>
    <row r="211" spans="1:12">
      <c r="A211" s="25" t="s">
        <v>65</v>
      </c>
      <c r="B211" s="29" t="s">
        <v>56</v>
      </c>
      <c r="C211" s="25"/>
      <c r="D211" s="25"/>
      <c r="E211" s="27"/>
      <c r="F211" s="25"/>
      <c r="G211" s="27"/>
      <c r="H211" s="25"/>
      <c r="I211" s="27"/>
      <c r="J211" s="25"/>
      <c r="K211" s="27"/>
      <c r="L211" s="28"/>
    </row>
    <row r="212" spans="1:12">
      <c r="A212" s="25"/>
      <c r="B212" s="26" t="s">
        <v>49</v>
      </c>
      <c r="C212" s="25">
        <v>1</v>
      </c>
      <c r="D212" s="25"/>
      <c r="E212" s="27">
        <f>E203*0.4</f>
        <v>40</v>
      </c>
      <c r="F212" s="25"/>
      <c r="G212" s="27">
        <f>G203*0.4</f>
        <v>24</v>
      </c>
      <c r="H212" s="25">
        <v>1</v>
      </c>
      <c r="I212" s="27">
        <f>I203*0.4</f>
        <v>16</v>
      </c>
      <c r="J212" s="25"/>
      <c r="K212" s="27">
        <f>K203*0.4</f>
        <v>16</v>
      </c>
      <c r="L212" s="28">
        <f t="shared" ref="L212:L214" si="163">(D212*E212)+(F212*G212)+(H212*I212)+(J212*K212)</f>
        <v>16</v>
      </c>
    </row>
    <row r="213" spans="1:12">
      <c r="A213" s="25"/>
      <c r="B213" s="26" t="s">
        <v>50</v>
      </c>
      <c r="C213" s="25">
        <v>1</v>
      </c>
      <c r="D213" s="25"/>
      <c r="E213" s="27">
        <f t="shared" ref="E213:E214" si="164">E204*0.4</f>
        <v>24</v>
      </c>
      <c r="F213" s="25">
        <v>1</v>
      </c>
      <c r="G213" s="27">
        <f t="shared" ref="G213:G214" si="165">G204*0.4</f>
        <v>16</v>
      </c>
      <c r="H213" s="25"/>
      <c r="I213" s="27">
        <f t="shared" ref="I213:I214" si="166">I204*0.4</f>
        <v>12</v>
      </c>
      <c r="J213" s="25"/>
      <c r="K213" s="27">
        <f t="shared" ref="K213:K214" si="167">K204*0.4</f>
        <v>12</v>
      </c>
      <c r="L213" s="28">
        <f t="shared" si="163"/>
        <v>16</v>
      </c>
    </row>
    <row r="214" spans="1:12">
      <c r="A214" s="25"/>
      <c r="B214" s="26" t="s">
        <v>51</v>
      </c>
      <c r="C214" s="25">
        <v>1</v>
      </c>
      <c r="D214" s="25">
        <v>1</v>
      </c>
      <c r="E214" s="27">
        <f t="shared" si="164"/>
        <v>16</v>
      </c>
      <c r="F214" s="25"/>
      <c r="G214" s="27">
        <f t="shared" si="165"/>
        <v>12</v>
      </c>
      <c r="H214" s="25"/>
      <c r="I214" s="27">
        <f t="shared" si="166"/>
        <v>8</v>
      </c>
      <c r="J214" s="25"/>
      <c r="K214" s="27">
        <f t="shared" si="167"/>
        <v>8</v>
      </c>
      <c r="L214" s="28">
        <f t="shared" si="163"/>
        <v>16</v>
      </c>
    </row>
    <row r="215" spans="1:12">
      <c r="A215" s="25" t="s">
        <v>66</v>
      </c>
      <c r="B215" s="29" t="s">
        <v>58</v>
      </c>
      <c r="C215" s="25"/>
      <c r="D215" s="25"/>
      <c r="E215" s="27"/>
      <c r="F215" s="25"/>
      <c r="G215" s="27"/>
      <c r="H215" s="25"/>
      <c r="I215" s="27"/>
      <c r="J215" s="25"/>
      <c r="K215" s="27"/>
      <c r="L215" s="28"/>
    </row>
    <row r="216" spans="1:12">
      <c r="A216" s="25"/>
      <c r="B216" s="26" t="s">
        <v>49</v>
      </c>
      <c r="C216" s="25">
        <v>1</v>
      </c>
      <c r="D216" s="25"/>
      <c r="E216" s="27">
        <f>E203*0.3</f>
        <v>30</v>
      </c>
      <c r="F216" s="25"/>
      <c r="G216" s="27">
        <f>G203*0.3</f>
        <v>18</v>
      </c>
      <c r="H216" s="25">
        <v>1</v>
      </c>
      <c r="I216" s="27">
        <f>I203*0.3</f>
        <v>12</v>
      </c>
      <c r="J216" s="25"/>
      <c r="K216" s="27">
        <f>K203*0.3</f>
        <v>12</v>
      </c>
      <c r="L216" s="28">
        <f t="shared" ref="L216:L218" si="168">(D216*E216)+(F216*G216)+(H216*I216)+(J216*K216)</f>
        <v>12</v>
      </c>
    </row>
    <row r="217" spans="1:12">
      <c r="A217" s="25"/>
      <c r="B217" s="26" t="s">
        <v>50</v>
      </c>
      <c r="C217" s="25">
        <v>1</v>
      </c>
      <c r="D217" s="25"/>
      <c r="E217" s="27">
        <f t="shared" ref="E217:E218" si="169">E204*0.3</f>
        <v>18</v>
      </c>
      <c r="F217" s="25">
        <v>1</v>
      </c>
      <c r="G217" s="27">
        <f t="shared" ref="G217:G218" si="170">G204*0.3</f>
        <v>12</v>
      </c>
      <c r="H217" s="25"/>
      <c r="I217" s="27">
        <f t="shared" ref="I217:I218" si="171">I204*0.3</f>
        <v>9</v>
      </c>
      <c r="J217" s="25"/>
      <c r="K217" s="27">
        <f t="shared" ref="K217:K218" si="172">K204*0.3</f>
        <v>9</v>
      </c>
      <c r="L217" s="28">
        <f t="shared" si="168"/>
        <v>12</v>
      </c>
    </row>
    <row r="218" spans="1:12">
      <c r="A218" s="25"/>
      <c r="B218" s="26" t="s">
        <v>51</v>
      </c>
      <c r="C218" s="25">
        <v>1</v>
      </c>
      <c r="D218" s="25">
        <v>1</v>
      </c>
      <c r="E218" s="27">
        <f t="shared" si="169"/>
        <v>12</v>
      </c>
      <c r="F218" s="25"/>
      <c r="G218" s="27">
        <f t="shared" si="170"/>
        <v>9</v>
      </c>
      <c r="H218" s="25"/>
      <c r="I218" s="27">
        <f t="shared" si="171"/>
        <v>6</v>
      </c>
      <c r="J218" s="25"/>
      <c r="K218" s="27">
        <f t="shared" si="172"/>
        <v>6</v>
      </c>
      <c r="L218" s="28">
        <f t="shared" si="168"/>
        <v>12</v>
      </c>
    </row>
    <row r="219" spans="1:12">
      <c r="A219" s="25" t="s">
        <v>67</v>
      </c>
      <c r="B219" s="29" t="s">
        <v>60</v>
      </c>
      <c r="C219" s="25"/>
      <c r="D219" s="25"/>
      <c r="E219" s="27"/>
      <c r="F219" s="25"/>
      <c r="G219" s="27"/>
      <c r="H219" s="25"/>
      <c r="I219" s="27"/>
      <c r="J219" s="25"/>
      <c r="K219" s="27"/>
      <c r="L219" s="28"/>
    </row>
    <row r="220" spans="1:12">
      <c r="A220" s="25"/>
      <c r="B220" s="26" t="s">
        <v>49</v>
      </c>
      <c r="C220" s="25">
        <v>1</v>
      </c>
      <c r="D220" s="25"/>
      <c r="E220" s="27">
        <f>E203*0.2</f>
        <v>20</v>
      </c>
      <c r="F220" s="25"/>
      <c r="G220" s="27">
        <f>G203*0.2</f>
        <v>12</v>
      </c>
      <c r="H220" s="25">
        <v>1</v>
      </c>
      <c r="I220" s="27">
        <f>I203*0.2</f>
        <v>8</v>
      </c>
      <c r="J220" s="25"/>
      <c r="K220" s="27">
        <f>K203*0.2</f>
        <v>8</v>
      </c>
      <c r="L220" s="28">
        <f t="shared" ref="L220:L226" si="173">(D220*E220)+(F220*G220)+(H220*I220)+(J220*K220)</f>
        <v>8</v>
      </c>
    </row>
    <row r="221" spans="1:12">
      <c r="A221" s="25"/>
      <c r="B221" s="26" t="s">
        <v>50</v>
      </c>
      <c r="C221" s="25">
        <v>1</v>
      </c>
      <c r="D221" s="25"/>
      <c r="E221" s="27">
        <f t="shared" ref="E221:E222" si="174">E204*0.2</f>
        <v>12</v>
      </c>
      <c r="F221" s="25">
        <v>1</v>
      </c>
      <c r="G221" s="27">
        <f t="shared" ref="G221:G222" si="175">G204*0.2</f>
        <v>8</v>
      </c>
      <c r="H221" s="25"/>
      <c r="I221" s="27">
        <f t="shared" ref="I221:I222" si="176">I204*0.2</f>
        <v>6</v>
      </c>
      <c r="J221" s="25"/>
      <c r="K221" s="27">
        <f t="shared" ref="K221:K222" si="177">K204*0.2</f>
        <v>6</v>
      </c>
      <c r="L221" s="28">
        <f t="shared" si="173"/>
        <v>8</v>
      </c>
    </row>
    <row r="222" spans="1:12">
      <c r="A222" s="25"/>
      <c r="B222" s="26" t="s">
        <v>51</v>
      </c>
      <c r="C222" s="25">
        <v>1</v>
      </c>
      <c r="D222" s="25">
        <v>1</v>
      </c>
      <c r="E222" s="27">
        <f t="shared" si="174"/>
        <v>8</v>
      </c>
      <c r="F222" s="25"/>
      <c r="G222" s="27">
        <f t="shared" si="175"/>
        <v>6</v>
      </c>
      <c r="H222" s="25"/>
      <c r="I222" s="27">
        <f t="shared" si="176"/>
        <v>4</v>
      </c>
      <c r="J222" s="25"/>
      <c r="K222" s="27">
        <f t="shared" si="177"/>
        <v>4</v>
      </c>
      <c r="L222" s="28">
        <f t="shared" si="173"/>
        <v>8</v>
      </c>
    </row>
    <row r="223" spans="1:12">
      <c r="A223" s="25">
        <v>7</v>
      </c>
      <c r="B223" s="26" t="s">
        <v>68</v>
      </c>
      <c r="C223" s="25"/>
      <c r="D223" s="25"/>
      <c r="E223" s="27"/>
      <c r="F223" s="25"/>
      <c r="G223" s="27"/>
      <c r="H223" s="25"/>
      <c r="I223" s="27"/>
      <c r="J223" s="25"/>
      <c r="K223" s="27"/>
      <c r="L223" s="28">
        <f t="shared" si="173"/>
        <v>0</v>
      </c>
    </row>
    <row r="224" spans="1:12">
      <c r="A224" s="25"/>
      <c r="B224" s="26" t="s">
        <v>49</v>
      </c>
      <c r="C224" s="25">
        <v>2</v>
      </c>
      <c r="D224" s="25">
        <v>2</v>
      </c>
      <c r="E224" s="27">
        <v>50</v>
      </c>
      <c r="F224" s="25">
        <v>1</v>
      </c>
      <c r="G224" s="27">
        <v>30</v>
      </c>
      <c r="H224" s="25">
        <v>1</v>
      </c>
      <c r="I224" s="27">
        <v>20</v>
      </c>
      <c r="J224" s="25"/>
      <c r="K224" s="27">
        <f>I224</f>
        <v>20</v>
      </c>
      <c r="L224" s="28">
        <f t="shared" si="173"/>
        <v>150</v>
      </c>
    </row>
    <row r="225" spans="1:12">
      <c r="A225" s="25"/>
      <c r="B225" s="26" t="s">
        <v>50</v>
      </c>
      <c r="C225" s="25">
        <v>1</v>
      </c>
      <c r="D225" s="25">
        <v>1</v>
      </c>
      <c r="E225" s="27">
        <v>40</v>
      </c>
      <c r="F225" s="25"/>
      <c r="G225" s="27">
        <v>20</v>
      </c>
      <c r="H225" s="25"/>
      <c r="I225" s="27">
        <v>15</v>
      </c>
      <c r="J225" s="25"/>
      <c r="K225" s="27">
        <f t="shared" ref="K225:K226" si="178">I225</f>
        <v>15</v>
      </c>
      <c r="L225" s="28">
        <f t="shared" si="173"/>
        <v>40</v>
      </c>
    </row>
    <row r="226" spans="1:12">
      <c r="A226" s="25"/>
      <c r="B226" s="26" t="s">
        <v>51</v>
      </c>
      <c r="C226" s="25">
        <v>1</v>
      </c>
      <c r="D226" s="25">
        <v>1</v>
      </c>
      <c r="E226" s="27">
        <v>30</v>
      </c>
      <c r="F226" s="25"/>
      <c r="G226" s="27">
        <v>15</v>
      </c>
      <c r="H226" s="25"/>
      <c r="I226" s="27">
        <v>10</v>
      </c>
      <c r="J226" s="25"/>
      <c r="K226" s="27">
        <f t="shared" si="178"/>
        <v>10</v>
      </c>
      <c r="L226" s="28">
        <f t="shared" si="173"/>
        <v>30</v>
      </c>
    </row>
    <row r="227" spans="1:12">
      <c r="A227" s="25">
        <v>8</v>
      </c>
      <c r="B227" s="26" t="s">
        <v>69</v>
      </c>
      <c r="C227" s="25"/>
      <c r="D227" s="25"/>
      <c r="E227" s="27"/>
      <c r="F227" s="25"/>
      <c r="G227" s="27"/>
      <c r="H227" s="25"/>
      <c r="I227" s="27"/>
      <c r="J227" s="25"/>
      <c r="K227" s="27"/>
      <c r="L227" s="28"/>
    </row>
    <row r="228" spans="1:12">
      <c r="A228" s="25" t="s">
        <v>70</v>
      </c>
      <c r="B228" s="29" t="s">
        <v>54</v>
      </c>
      <c r="C228" s="25"/>
      <c r="D228" s="25"/>
      <c r="E228" s="27"/>
      <c r="F228" s="25"/>
      <c r="G228" s="27"/>
      <c r="H228" s="25"/>
      <c r="I228" s="27"/>
      <c r="J228" s="25"/>
      <c r="K228" s="27"/>
      <c r="L228" s="28"/>
    </row>
    <row r="229" spans="1:12">
      <c r="A229" s="25"/>
      <c r="B229" s="26" t="s">
        <v>49</v>
      </c>
      <c r="C229" s="25">
        <v>1</v>
      </c>
      <c r="D229" s="25">
        <v>1</v>
      </c>
      <c r="E229" s="27">
        <f>E224*0.75</f>
        <v>37.5</v>
      </c>
      <c r="F229" s="25">
        <v>1</v>
      </c>
      <c r="G229" s="27">
        <f>G224*0.75</f>
        <v>22.5</v>
      </c>
      <c r="H229" s="25">
        <v>1</v>
      </c>
      <c r="I229" s="27">
        <f>I224*0.75</f>
        <v>15</v>
      </c>
      <c r="J229" s="25"/>
      <c r="K229" s="27">
        <f>K224*0.75</f>
        <v>15</v>
      </c>
      <c r="L229" s="28">
        <f t="shared" ref="L229:L231" si="179">(D229*E229)+(F229*G229)+(H229*I229)+(J229*K229)</f>
        <v>75</v>
      </c>
    </row>
    <row r="230" spans="1:12">
      <c r="A230" s="25"/>
      <c r="B230" s="26" t="s">
        <v>50</v>
      </c>
      <c r="C230" s="25"/>
      <c r="D230" s="25"/>
      <c r="E230" s="27">
        <f t="shared" ref="E230:E231" si="180">E225*0.75</f>
        <v>30</v>
      </c>
      <c r="F230" s="25"/>
      <c r="G230" s="27">
        <f t="shared" ref="G230:G231" si="181">G225*0.75</f>
        <v>15</v>
      </c>
      <c r="H230" s="25"/>
      <c r="I230" s="27">
        <f t="shared" ref="I230:I231" si="182">I225*0.75</f>
        <v>11.25</v>
      </c>
      <c r="J230" s="25"/>
      <c r="K230" s="27">
        <f t="shared" ref="K230:K231" si="183">K225*0.75</f>
        <v>11.25</v>
      </c>
      <c r="L230" s="28">
        <f t="shared" si="179"/>
        <v>0</v>
      </c>
    </row>
    <row r="231" spans="1:12">
      <c r="A231" s="25"/>
      <c r="B231" s="26" t="s">
        <v>51</v>
      </c>
      <c r="C231" s="25"/>
      <c r="D231" s="25"/>
      <c r="E231" s="27">
        <f t="shared" si="180"/>
        <v>22.5</v>
      </c>
      <c r="F231" s="25"/>
      <c r="G231" s="27">
        <f t="shared" si="181"/>
        <v>11.25</v>
      </c>
      <c r="H231" s="25"/>
      <c r="I231" s="27">
        <f t="shared" si="182"/>
        <v>7.5</v>
      </c>
      <c r="J231" s="25"/>
      <c r="K231" s="27">
        <f t="shared" si="183"/>
        <v>7.5</v>
      </c>
      <c r="L231" s="28">
        <f t="shared" si="179"/>
        <v>0</v>
      </c>
    </row>
    <row r="232" spans="1:12">
      <c r="A232" s="25" t="s">
        <v>71</v>
      </c>
      <c r="B232" s="29" t="s">
        <v>56</v>
      </c>
      <c r="C232" s="25"/>
      <c r="D232" s="25"/>
      <c r="E232" s="27"/>
      <c r="F232" s="25"/>
      <c r="G232" s="27"/>
      <c r="H232" s="25"/>
      <c r="I232" s="27"/>
      <c r="J232" s="25"/>
      <c r="K232" s="27"/>
      <c r="L232" s="28"/>
    </row>
    <row r="233" spans="1:12">
      <c r="A233" s="25"/>
      <c r="B233" s="26" t="s">
        <v>49</v>
      </c>
      <c r="C233" s="25">
        <v>1</v>
      </c>
      <c r="D233" s="25">
        <v>1</v>
      </c>
      <c r="E233" s="27">
        <f>E224*0.4</f>
        <v>20</v>
      </c>
      <c r="F233" s="25">
        <v>1</v>
      </c>
      <c r="G233" s="27">
        <f>G224*0.4</f>
        <v>12</v>
      </c>
      <c r="H233" s="25">
        <v>1</v>
      </c>
      <c r="I233" s="27">
        <f>I224*0.4</f>
        <v>8</v>
      </c>
      <c r="J233" s="25"/>
      <c r="K233" s="27">
        <f>K224*0.4</f>
        <v>8</v>
      </c>
      <c r="L233" s="28">
        <f t="shared" ref="L233:L235" si="184">(D233*E233)+(F233*G233)+(H233*I233)+(J233*K233)</f>
        <v>40</v>
      </c>
    </row>
    <row r="234" spans="1:12">
      <c r="A234" s="25"/>
      <c r="B234" s="26" t="s">
        <v>50</v>
      </c>
      <c r="C234" s="25">
        <v>1</v>
      </c>
      <c r="D234" s="25">
        <v>1</v>
      </c>
      <c r="E234" s="27">
        <f t="shared" ref="E234:E235" si="185">E225*0.4</f>
        <v>16</v>
      </c>
      <c r="F234" s="25">
        <v>1</v>
      </c>
      <c r="G234" s="27">
        <f t="shared" ref="G234:G235" si="186">G225*0.4</f>
        <v>8</v>
      </c>
      <c r="H234" s="25">
        <v>1</v>
      </c>
      <c r="I234" s="27">
        <f t="shared" ref="I234:I235" si="187">I225*0.4</f>
        <v>6</v>
      </c>
      <c r="J234" s="25"/>
      <c r="K234" s="27">
        <f t="shared" ref="K234:K235" si="188">K225*0.4</f>
        <v>6</v>
      </c>
      <c r="L234" s="28">
        <f t="shared" si="184"/>
        <v>30</v>
      </c>
    </row>
    <row r="235" spans="1:12">
      <c r="A235" s="25"/>
      <c r="B235" s="26" t="s">
        <v>51</v>
      </c>
      <c r="C235" s="25">
        <v>1</v>
      </c>
      <c r="D235" s="25">
        <v>1</v>
      </c>
      <c r="E235" s="27">
        <f t="shared" si="185"/>
        <v>12</v>
      </c>
      <c r="F235" s="25"/>
      <c r="G235" s="27">
        <f t="shared" si="186"/>
        <v>6</v>
      </c>
      <c r="H235" s="25"/>
      <c r="I235" s="27">
        <f t="shared" si="187"/>
        <v>4</v>
      </c>
      <c r="J235" s="25"/>
      <c r="K235" s="27">
        <f t="shared" si="188"/>
        <v>4</v>
      </c>
      <c r="L235" s="28">
        <f t="shared" si="184"/>
        <v>12</v>
      </c>
    </row>
    <row r="236" spans="1:12">
      <c r="A236" s="25" t="s">
        <v>72</v>
      </c>
      <c r="B236" s="29" t="s">
        <v>58</v>
      </c>
      <c r="C236" s="25"/>
      <c r="D236" s="25"/>
      <c r="E236" s="27"/>
      <c r="F236" s="25"/>
      <c r="G236" s="27"/>
      <c r="H236" s="25"/>
      <c r="I236" s="27"/>
      <c r="J236" s="25"/>
      <c r="K236" s="27"/>
      <c r="L236" s="28"/>
    </row>
    <row r="237" spans="1:12">
      <c r="A237" s="25"/>
      <c r="B237" s="26" t="s">
        <v>49</v>
      </c>
      <c r="C237" s="25">
        <v>1</v>
      </c>
      <c r="D237" s="25">
        <v>1</v>
      </c>
      <c r="E237" s="27">
        <f>E224*0.3</f>
        <v>15</v>
      </c>
      <c r="F237" s="25">
        <v>1</v>
      </c>
      <c r="G237" s="27">
        <f>G224*0.3</f>
        <v>9</v>
      </c>
      <c r="H237" s="25">
        <v>1</v>
      </c>
      <c r="I237" s="27">
        <f>I224*0.3</f>
        <v>6</v>
      </c>
      <c r="J237" s="25"/>
      <c r="K237" s="27">
        <f>K224*0.3</f>
        <v>6</v>
      </c>
      <c r="L237" s="28">
        <f t="shared" ref="L237:L239" si="189">(D237*E237)+(F237*G237)+(H237*I237)+(J237*K237)</f>
        <v>30</v>
      </c>
    </row>
    <row r="238" spans="1:12">
      <c r="A238" s="25"/>
      <c r="B238" s="26" t="s">
        <v>50</v>
      </c>
      <c r="C238" s="25"/>
      <c r="D238" s="25"/>
      <c r="E238" s="27">
        <f t="shared" ref="E238:E239" si="190">E225*0.3</f>
        <v>12</v>
      </c>
      <c r="F238" s="25"/>
      <c r="G238" s="27">
        <f t="shared" ref="G238:G239" si="191">G225*0.3</f>
        <v>6</v>
      </c>
      <c r="H238" s="25"/>
      <c r="I238" s="27">
        <f t="shared" ref="I238:I239" si="192">I225*0.3</f>
        <v>4.5</v>
      </c>
      <c r="J238" s="25"/>
      <c r="K238" s="27">
        <f t="shared" ref="K238:K239" si="193">K225*0.3</f>
        <v>4.5</v>
      </c>
      <c r="L238" s="28">
        <f t="shared" si="189"/>
        <v>0</v>
      </c>
    </row>
    <row r="239" spans="1:12">
      <c r="A239" s="25"/>
      <c r="B239" s="26" t="s">
        <v>51</v>
      </c>
      <c r="C239" s="25"/>
      <c r="D239" s="25"/>
      <c r="E239" s="27">
        <f t="shared" si="190"/>
        <v>9</v>
      </c>
      <c r="F239" s="25"/>
      <c r="G239" s="27">
        <f t="shared" si="191"/>
        <v>4.5</v>
      </c>
      <c r="H239" s="25"/>
      <c r="I239" s="27">
        <f t="shared" si="192"/>
        <v>3</v>
      </c>
      <c r="J239" s="25"/>
      <c r="K239" s="27">
        <f t="shared" si="193"/>
        <v>3</v>
      </c>
      <c r="L239" s="28">
        <f t="shared" si="189"/>
        <v>0</v>
      </c>
    </row>
    <row r="240" spans="1:12">
      <c r="A240" s="25" t="s">
        <v>73</v>
      </c>
      <c r="B240" s="29" t="s">
        <v>60</v>
      </c>
      <c r="C240" s="25"/>
      <c r="D240" s="25"/>
      <c r="E240" s="27"/>
      <c r="F240" s="25"/>
      <c r="G240" s="27"/>
      <c r="H240" s="25"/>
      <c r="I240" s="27"/>
      <c r="J240" s="25"/>
      <c r="K240" s="27"/>
      <c r="L240" s="28"/>
    </row>
    <row r="241" spans="1:12">
      <c r="A241" s="25"/>
      <c r="B241" s="26" t="s">
        <v>49</v>
      </c>
      <c r="C241" s="25"/>
      <c r="D241" s="25"/>
      <c r="E241" s="27">
        <f>E224*0.2</f>
        <v>10</v>
      </c>
      <c r="F241" s="25"/>
      <c r="G241" s="27">
        <f>G224*0.2</f>
        <v>6</v>
      </c>
      <c r="H241" s="25"/>
      <c r="I241" s="27">
        <f>I224*0.2</f>
        <v>4</v>
      </c>
      <c r="J241" s="25"/>
      <c r="K241" s="27">
        <f>K224*0.2</f>
        <v>4</v>
      </c>
      <c r="L241" s="28">
        <f t="shared" ref="L241:L249" si="194">(D241*E241)+(F241*G241)+(H241*I241)+(J241*K241)</f>
        <v>0</v>
      </c>
    </row>
    <row r="242" spans="1:12">
      <c r="A242" s="25"/>
      <c r="B242" s="26" t="s">
        <v>50</v>
      </c>
      <c r="C242" s="25">
        <v>1</v>
      </c>
      <c r="D242" s="25">
        <v>1</v>
      </c>
      <c r="E242" s="27">
        <f t="shared" ref="E242:E243" si="195">E225*0.2</f>
        <v>8</v>
      </c>
      <c r="F242" s="25">
        <v>1</v>
      </c>
      <c r="G242" s="27">
        <f t="shared" ref="G242:G243" si="196">G225*0.2</f>
        <v>4</v>
      </c>
      <c r="H242" s="25">
        <v>1</v>
      </c>
      <c r="I242" s="27">
        <f t="shared" ref="I242:I243" si="197">I225*0.2</f>
        <v>3</v>
      </c>
      <c r="J242" s="25"/>
      <c r="K242" s="27">
        <f t="shared" ref="K242:K243" si="198">K225*0.2</f>
        <v>3</v>
      </c>
      <c r="L242" s="28">
        <f t="shared" si="194"/>
        <v>15</v>
      </c>
    </row>
    <row r="243" spans="1:12">
      <c r="A243" s="25"/>
      <c r="B243" s="26" t="s">
        <v>51</v>
      </c>
      <c r="C243" s="25">
        <v>1</v>
      </c>
      <c r="D243" s="25">
        <v>1</v>
      </c>
      <c r="E243" s="27">
        <f t="shared" si="195"/>
        <v>6</v>
      </c>
      <c r="F243" s="25"/>
      <c r="G243" s="27">
        <f t="shared" si="196"/>
        <v>3</v>
      </c>
      <c r="H243" s="25"/>
      <c r="I243" s="27">
        <f t="shared" si="197"/>
        <v>2</v>
      </c>
      <c r="J243" s="25"/>
      <c r="K243" s="27">
        <f t="shared" si="198"/>
        <v>2</v>
      </c>
      <c r="L243" s="28">
        <f t="shared" si="194"/>
        <v>6</v>
      </c>
    </row>
    <row r="244" spans="1:12">
      <c r="A244" s="25">
        <v>9</v>
      </c>
      <c r="B244" s="26" t="s">
        <v>74</v>
      </c>
      <c r="C244" s="25">
        <v>2</v>
      </c>
      <c r="D244" s="25">
        <v>1</v>
      </c>
      <c r="E244" s="27">
        <v>100</v>
      </c>
      <c r="F244" s="25">
        <v>1</v>
      </c>
      <c r="G244" s="27">
        <v>60</v>
      </c>
      <c r="H244" s="25">
        <v>1</v>
      </c>
      <c r="I244" s="27">
        <v>40</v>
      </c>
      <c r="J244" s="25"/>
      <c r="K244" s="27">
        <f>I244</f>
        <v>40</v>
      </c>
      <c r="L244" s="28">
        <f t="shared" si="194"/>
        <v>200</v>
      </c>
    </row>
    <row r="245" spans="1:12">
      <c r="A245" s="25">
        <v>10</v>
      </c>
      <c r="B245" s="26" t="s">
        <v>75</v>
      </c>
      <c r="C245" s="25">
        <v>2</v>
      </c>
      <c r="D245" s="25">
        <v>2</v>
      </c>
      <c r="E245" s="27">
        <v>40</v>
      </c>
      <c r="F245" s="25">
        <v>1</v>
      </c>
      <c r="G245" s="27">
        <v>20</v>
      </c>
      <c r="H245" s="25">
        <v>1</v>
      </c>
      <c r="I245" s="27">
        <v>15</v>
      </c>
      <c r="J245" s="25"/>
      <c r="K245" s="27">
        <f t="shared" ref="K245" si="199">I245</f>
        <v>15</v>
      </c>
      <c r="L245" s="28">
        <f t="shared" si="194"/>
        <v>115</v>
      </c>
    </row>
    <row r="246" spans="1:12">
      <c r="A246" s="25">
        <v>11</v>
      </c>
      <c r="B246" s="26" t="s">
        <v>76</v>
      </c>
      <c r="C246" s="25"/>
      <c r="D246" s="25"/>
      <c r="E246" s="27"/>
      <c r="F246" s="25"/>
      <c r="G246" s="27"/>
      <c r="H246" s="25"/>
      <c r="I246" s="27"/>
      <c r="J246" s="25"/>
      <c r="K246" s="27"/>
      <c r="L246" s="28"/>
    </row>
    <row r="247" spans="1:12">
      <c r="A247" s="25"/>
      <c r="B247" s="26" t="s">
        <v>49</v>
      </c>
      <c r="C247" s="25">
        <v>1</v>
      </c>
      <c r="D247" s="303">
        <v>1</v>
      </c>
      <c r="E247" s="308">
        <v>20</v>
      </c>
      <c r="F247" s="25">
        <v>1</v>
      </c>
      <c r="G247" s="308">
        <v>15</v>
      </c>
      <c r="H247" s="25">
        <v>1</v>
      </c>
      <c r="I247" s="308">
        <v>10</v>
      </c>
      <c r="J247" s="27"/>
      <c r="K247" s="308">
        <v>10</v>
      </c>
      <c r="L247" s="304">
        <f t="shared" si="194"/>
        <v>45</v>
      </c>
    </row>
    <row r="248" spans="1:12">
      <c r="A248" s="25"/>
      <c r="B248" s="26" t="s">
        <v>50</v>
      </c>
      <c r="C248" s="25">
        <v>1</v>
      </c>
      <c r="D248" s="303">
        <v>1</v>
      </c>
      <c r="E248" s="308">
        <v>17</v>
      </c>
      <c r="F248" s="25">
        <v>1</v>
      </c>
      <c r="G248" s="308">
        <v>12.75</v>
      </c>
      <c r="H248" s="25">
        <v>1</v>
      </c>
      <c r="I248" s="308">
        <v>8.5</v>
      </c>
      <c r="J248" s="27"/>
      <c r="K248" s="308">
        <v>8.5</v>
      </c>
      <c r="L248" s="304">
        <f t="shared" si="194"/>
        <v>38.25</v>
      </c>
    </row>
    <row r="249" spans="1:12">
      <c r="A249" s="25"/>
      <c r="B249" s="26" t="s">
        <v>51</v>
      </c>
      <c r="C249" s="25">
        <v>1</v>
      </c>
      <c r="D249" s="303">
        <v>1</v>
      </c>
      <c r="E249" s="308">
        <v>14</v>
      </c>
      <c r="F249" s="25">
        <v>1</v>
      </c>
      <c r="G249" s="308">
        <v>10.5</v>
      </c>
      <c r="H249" s="25">
        <v>1</v>
      </c>
      <c r="I249" s="308">
        <v>7</v>
      </c>
      <c r="J249" s="27"/>
      <c r="K249" s="308">
        <v>7</v>
      </c>
      <c r="L249" s="304">
        <f t="shared" si="194"/>
        <v>31.5</v>
      </c>
    </row>
    <row r="250" spans="1:12">
      <c r="A250" s="25"/>
      <c r="B250" s="30" t="s">
        <v>1</v>
      </c>
      <c r="C250" s="31">
        <f>SUM(C176:C246)</f>
        <v>66</v>
      </c>
      <c r="D250" s="31">
        <f>SUM(D176:D246)</f>
        <v>51</v>
      </c>
      <c r="E250" s="25"/>
      <c r="F250" s="31">
        <f>SUM(F176:F246)</f>
        <v>47</v>
      </c>
      <c r="G250" s="25"/>
      <c r="H250" s="31">
        <f>SUM(H176:H246)</f>
        <v>56</v>
      </c>
      <c r="I250" s="25"/>
      <c r="J250" s="31">
        <f>SUM(J176:J246)</f>
        <v>0</v>
      </c>
      <c r="K250" s="27"/>
      <c r="L250" s="32">
        <f>SUM(L176:L249)</f>
        <v>4757.25</v>
      </c>
    </row>
    <row r="251" spans="1:12">
      <c r="A251" s="419" t="s">
        <v>77</v>
      </c>
      <c r="B251" s="420"/>
      <c r="C251" s="420"/>
      <c r="D251" s="420"/>
      <c r="E251" s="421"/>
      <c r="F251" s="420"/>
      <c r="G251" s="421"/>
      <c r="H251" s="420"/>
      <c r="I251" s="421"/>
      <c r="J251" s="420"/>
      <c r="K251" s="421"/>
      <c r="L251" s="422"/>
    </row>
    <row r="252" spans="1:12">
      <c r="A252" s="417">
        <v>1</v>
      </c>
      <c r="B252" s="440" t="s">
        <v>125</v>
      </c>
      <c r="C252" s="417"/>
      <c r="D252" s="417"/>
      <c r="E252" s="417"/>
      <c r="F252" s="417"/>
      <c r="G252" s="417"/>
      <c r="H252" s="417"/>
      <c r="I252" s="417"/>
      <c r="J252" s="417"/>
      <c r="K252" s="417"/>
      <c r="L252" s="442">
        <f>L250*0.75</f>
        <v>3567.9375</v>
      </c>
    </row>
    <row r="253" spans="1:12" ht="7.5" customHeight="1">
      <c r="A253" s="418"/>
      <c r="B253" s="441"/>
      <c r="C253" s="418"/>
      <c r="D253" s="418"/>
      <c r="E253" s="418"/>
      <c r="F253" s="418"/>
      <c r="G253" s="418"/>
      <c r="H253" s="418"/>
      <c r="I253" s="418"/>
      <c r="J253" s="418"/>
      <c r="K253" s="418"/>
      <c r="L253" s="443"/>
    </row>
    <row r="254" spans="1:12">
      <c r="A254" s="438" t="s">
        <v>78</v>
      </c>
      <c r="B254" s="439"/>
      <c r="C254" s="33">
        <f>SUM(C252:C252)</f>
        <v>0</v>
      </c>
      <c r="D254" s="33">
        <f>SUM(D252:D252)</f>
        <v>0</v>
      </c>
      <c r="E254" s="34"/>
      <c r="F254" s="33">
        <f>SUM(F252:F252)</f>
        <v>0</v>
      </c>
      <c r="G254" s="34"/>
      <c r="H254" s="33">
        <f>SUM(H252:H252)</f>
        <v>0</v>
      </c>
      <c r="I254" s="34"/>
      <c r="J254" s="33"/>
      <c r="K254" s="34"/>
      <c r="L254" s="210">
        <f>SUM(L176:L246)+SUM(L252:L252)+L253</f>
        <v>8210.4375</v>
      </c>
    </row>
  </sheetData>
  <mergeCells count="41">
    <mergeCell ref="A175:L175"/>
    <mergeCell ref="A251:L251"/>
    <mergeCell ref="A254:B254"/>
    <mergeCell ref="A171:L171"/>
    <mergeCell ref="A173:A174"/>
    <mergeCell ref="B173:B174"/>
    <mergeCell ref="C173:C174"/>
    <mergeCell ref="D173:K173"/>
    <mergeCell ref="L173:L174"/>
    <mergeCell ref="A252:A253"/>
    <mergeCell ref="B252:B253"/>
    <mergeCell ref="C252:C253"/>
    <mergeCell ref="D252:D253"/>
    <mergeCell ref="E252:E253"/>
    <mergeCell ref="F252:F253"/>
    <mergeCell ref="L252:L253"/>
    <mergeCell ref="A91:L91"/>
    <mergeCell ref="A168:L168"/>
    <mergeCell ref="A170:B170"/>
    <mergeCell ref="A87:L87"/>
    <mergeCell ref="A89:A90"/>
    <mergeCell ref="B89:B90"/>
    <mergeCell ref="C89:C90"/>
    <mergeCell ref="D89:K89"/>
    <mergeCell ref="L89:L90"/>
    <mergeCell ref="A7:L7"/>
    <mergeCell ref="A83:L83"/>
    <mergeCell ref="A85:B85"/>
    <mergeCell ref="A1:L1"/>
    <mergeCell ref="A2:L2"/>
    <mergeCell ref="A3:L3"/>
    <mergeCell ref="A5:A6"/>
    <mergeCell ref="B5:B6"/>
    <mergeCell ref="C5:C6"/>
    <mergeCell ref="D5:K5"/>
    <mergeCell ref="L5:L6"/>
    <mergeCell ref="G252:G253"/>
    <mergeCell ref="H252:H253"/>
    <mergeCell ref="I252:I253"/>
    <mergeCell ref="J252:J253"/>
    <mergeCell ref="K252:K253"/>
  </mergeCells>
  <pageMargins left="0.45" right="0.45" top="0.4" bottom="0.2" header="0.3" footer="0.3"/>
  <pageSetup paperSize="9" fitToHeight="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66917-8AAC-40E0-B7B1-EEC824F1DDBD}">
  <sheetPr>
    <pageSetUpPr fitToPage="1"/>
  </sheetPr>
  <dimension ref="A1:G13"/>
  <sheetViews>
    <sheetView zoomScale="85" zoomScaleNormal="85" workbookViewId="0">
      <selection activeCell="B2" sqref="B2"/>
    </sheetView>
  </sheetViews>
  <sheetFormatPr defaultColWidth="9.140625" defaultRowHeight="18.75"/>
  <cols>
    <col min="1" max="1" width="7.7109375" style="1" customWidth="1"/>
    <col min="2" max="2" width="34.5703125" style="1" customWidth="1"/>
    <col min="3" max="3" width="13.42578125" style="1" customWidth="1"/>
    <col min="4" max="4" width="21.5703125" style="1" customWidth="1"/>
    <col min="5" max="5" width="16.140625" style="1" customWidth="1"/>
    <col min="6" max="6" width="20.28515625" style="1" customWidth="1"/>
    <col min="7" max="7" width="18" style="1" customWidth="1"/>
    <col min="8" max="16384" width="9.140625" style="1"/>
  </cols>
  <sheetData>
    <row r="1" spans="1:7">
      <c r="B1" s="399" t="s">
        <v>293</v>
      </c>
      <c r="C1" s="399"/>
      <c r="D1" s="399"/>
      <c r="E1" s="399"/>
      <c r="F1" s="399"/>
      <c r="G1" s="58"/>
    </row>
    <row r="2" spans="1:7" ht="56.25">
      <c r="A2" s="50" t="s">
        <v>111</v>
      </c>
      <c r="B2" s="51"/>
      <c r="C2" s="51"/>
      <c r="D2" s="51"/>
      <c r="E2" s="51"/>
      <c r="F2" s="51"/>
      <c r="G2" s="51"/>
    </row>
    <row r="4" spans="1:7" ht="56.25">
      <c r="A4" s="38" t="s">
        <v>37</v>
      </c>
      <c r="B4" s="41" t="s">
        <v>109</v>
      </c>
      <c r="C4" s="41" t="s">
        <v>110</v>
      </c>
      <c r="D4" s="41" t="s">
        <v>112</v>
      </c>
      <c r="E4" s="41" t="s">
        <v>114</v>
      </c>
      <c r="F4" s="41" t="s">
        <v>113</v>
      </c>
      <c r="G4" s="40" t="s">
        <v>2</v>
      </c>
    </row>
    <row r="5" spans="1:7">
      <c r="A5" s="53"/>
      <c r="B5" s="53">
        <v>1</v>
      </c>
      <c r="C5" s="54">
        <v>2</v>
      </c>
      <c r="D5" s="53">
        <v>3</v>
      </c>
      <c r="E5" s="53">
        <v>4</v>
      </c>
      <c r="F5" s="53" t="s">
        <v>119</v>
      </c>
      <c r="G5" s="53">
        <v>6</v>
      </c>
    </row>
    <row r="6" spans="1:7" ht="37.5">
      <c r="A6" s="45">
        <v>1</v>
      </c>
      <c r="B6" s="55" t="s">
        <v>236</v>
      </c>
      <c r="C6" s="45">
        <v>2</v>
      </c>
      <c r="D6" s="45">
        <v>10</v>
      </c>
      <c r="E6" s="45">
        <v>12</v>
      </c>
      <c r="F6" s="46">
        <f t="shared" ref="F6:F7" si="0">IF(C6=0,"",C6*D6*E6)</f>
        <v>240</v>
      </c>
      <c r="G6" s="45" t="s">
        <v>115</v>
      </c>
    </row>
    <row r="7" spans="1:7" ht="37.5">
      <c r="A7" s="45">
        <v>2</v>
      </c>
      <c r="B7" s="55" t="s">
        <v>237</v>
      </c>
      <c r="C7" s="45">
        <v>3</v>
      </c>
      <c r="D7" s="45">
        <v>7</v>
      </c>
      <c r="E7" s="45">
        <v>12</v>
      </c>
      <c r="F7" s="46">
        <f t="shared" si="0"/>
        <v>252</v>
      </c>
      <c r="G7" s="45" t="s">
        <v>115</v>
      </c>
    </row>
    <row r="8" spans="1:7" ht="37.5">
      <c r="A8" s="45">
        <v>3</v>
      </c>
      <c r="B8" s="55" t="s">
        <v>116</v>
      </c>
      <c r="C8" s="45">
        <v>10</v>
      </c>
      <c r="D8" s="45">
        <v>5</v>
      </c>
      <c r="E8" s="45">
        <v>12</v>
      </c>
      <c r="F8" s="46">
        <f t="shared" ref="F8:F11" si="1">IF(C8=0,"",C8*D8*E8)</f>
        <v>600</v>
      </c>
      <c r="G8" s="45" t="s">
        <v>117</v>
      </c>
    </row>
    <row r="9" spans="1:7" ht="37.5">
      <c r="A9" s="45">
        <v>4</v>
      </c>
      <c r="B9" s="55" t="s">
        <v>234</v>
      </c>
      <c r="C9" s="45">
        <v>10</v>
      </c>
      <c r="D9" s="45">
        <v>3</v>
      </c>
      <c r="E9" s="45">
        <v>12</v>
      </c>
      <c r="F9" s="46">
        <f t="shared" ref="F9" si="2">IF(C9=0,"",C9*D9*E9)</f>
        <v>360</v>
      </c>
      <c r="G9" s="45" t="s">
        <v>117</v>
      </c>
    </row>
    <row r="10" spans="1:7" ht="37.5">
      <c r="A10" s="45">
        <v>5</v>
      </c>
      <c r="B10" s="55" t="s">
        <v>235</v>
      </c>
      <c r="C10" s="45">
        <v>12</v>
      </c>
      <c r="D10" s="45">
        <v>2</v>
      </c>
      <c r="E10" s="45">
        <v>12</v>
      </c>
      <c r="F10" s="46">
        <f t="shared" ref="F10" si="3">IF(C10=0,"",C10*D10*E10)</f>
        <v>288</v>
      </c>
      <c r="G10" s="45" t="s">
        <v>117</v>
      </c>
    </row>
    <row r="11" spans="1:7" ht="56.25">
      <c r="A11" s="45">
        <v>6</v>
      </c>
      <c r="B11" s="55" t="s">
        <v>118</v>
      </c>
      <c r="C11" s="45">
        <v>100</v>
      </c>
      <c r="D11" s="45">
        <v>5</v>
      </c>
      <c r="E11" s="45">
        <v>12</v>
      </c>
      <c r="F11" s="46">
        <f t="shared" si="1"/>
        <v>6000</v>
      </c>
      <c r="G11" s="45" t="s">
        <v>115</v>
      </c>
    </row>
    <row r="12" spans="1:7" ht="24.75" customHeight="1">
      <c r="A12" s="52"/>
      <c r="B12" s="40" t="s">
        <v>78</v>
      </c>
      <c r="C12" s="45"/>
      <c r="D12" s="45"/>
      <c r="E12" s="45"/>
      <c r="F12" s="56">
        <f>SUM(F6:F11)</f>
        <v>7740</v>
      </c>
      <c r="G12" s="52"/>
    </row>
    <row r="13" spans="1:7" ht="29.25" customHeight="1">
      <c r="A13" s="444" t="s">
        <v>272</v>
      </c>
      <c r="B13" s="444"/>
      <c r="C13" s="444"/>
      <c r="D13" s="444"/>
      <c r="E13" s="444"/>
      <c r="F13" s="444"/>
      <c r="G13" s="444"/>
    </row>
  </sheetData>
  <mergeCells count="2">
    <mergeCell ref="B1:F1"/>
    <mergeCell ref="A13:G13"/>
  </mergeCells>
  <pageMargins left="0.70866141732283472" right="0.70866141732283472" top="0.74803149606299213" bottom="0.55118110236220474" header="0.31496062992125984" footer="0.31496062992125984"/>
  <pageSetup paperSize="9" scale="9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Doc so</vt:lpstr>
      <vt:lpstr>PL 4</vt:lpstr>
      <vt:lpstr>PL 4.1</vt:lpstr>
      <vt:lpstr>PL 4.1.1</vt:lpstr>
      <vt:lpstr>PL 4.2</vt:lpstr>
      <vt:lpstr>PL 4.2.1</vt:lpstr>
      <vt:lpstr>PL 4.4</vt:lpstr>
      <vt:lpstr>PL 4.4.1</vt:lpstr>
      <vt:lpstr>PL4.3</vt:lpstr>
      <vt:lpstr>PL 4.3.1</vt:lpstr>
      <vt:lpstr>PL 4.5</vt:lpstr>
      <vt:lpstr>PL 4.5.1</vt:lpstr>
      <vt:lpstr>Chi tiết 4.5.1 (1)</vt:lpstr>
      <vt:lpstr>Chi tiết 4.5.1 (2)</vt:lpstr>
      <vt:lpstr>PL 4.5.2</vt:lpstr>
      <vt:lpstr>PL 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hung dang viet</dc:creator>
  <cp:lastModifiedBy>Sở Văn hóa - Thể thao và Du lịch</cp:lastModifiedBy>
  <cp:lastPrinted>2026-10-07T04:07:47Z</cp:lastPrinted>
  <dcterms:created xsi:type="dcterms:W3CDTF">2026-07-23T07:15:08Z</dcterms:created>
  <dcterms:modified xsi:type="dcterms:W3CDTF">2026-10-15T01:50:29Z</dcterms:modified>
</cp:coreProperties>
</file>